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TOA\Knowledge Center\APTC Calculators\2019\"/>
    </mc:Choice>
  </mc:AlternateContent>
  <workbookProtection workbookAlgorithmName="SHA-512" workbookHashValue="AByrIOWRuSitL6FZ0LUDilpeBYM05DMN2hECJ1b17oKYtY3OtbQi1dmCFRhlmB3y7qrgdZbqeTKzYyg9q05Mbg==" workbookSaltValue="5mN+u3GIDb5Kd2HSxMVVJQ==" workbookSpinCount="100000" lockStructure="1"/>
  <bookViews>
    <workbookView xWindow="0" yWindow="0" windowWidth="20490" windowHeight="7620" firstSheet="1" activeTab="1"/>
  </bookViews>
  <sheets>
    <sheet name="FPL" sheetId="1" state="hidden" r:id="rId1"/>
    <sheet name="APTC" sheetId="5" r:id="rId2"/>
    <sheet name="Thresholds" sheetId="6" r:id="rId3"/>
    <sheet name="Age" sheetId="3" state="hidden" r:id="rId4"/>
    <sheet name="Benchmarks" sheetId="4" state="hidden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6" l="1"/>
  <c r="J18" i="6"/>
  <c r="I18" i="6"/>
  <c r="H18" i="6"/>
  <c r="G18" i="6"/>
  <c r="F18" i="6"/>
  <c r="E18" i="6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8" i="6"/>
  <c r="J8" i="6"/>
  <c r="I8" i="6"/>
  <c r="H8" i="6"/>
  <c r="G8" i="6"/>
  <c r="F8" i="6"/>
  <c r="E8" i="6"/>
  <c r="D8" i="6"/>
  <c r="K19" i="6"/>
  <c r="J19" i="6"/>
  <c r="I19" i="6"/>
  <c r="H11" i="6"/>
  <c r="G19" i="6"/>
  <c r="F19" i="6"/>
  <c r="E19" i="6"/>
  <c r="D19" i="6"/>
  <c r="H19" i="6" l="1"/>
  <c r="E9" i="6"/>
  <c r="I9" i="6"/>
  <c r="E10" i="6"/>
  <c r="I10" i="6"/>
  <c r="E11" i="6"/>
  <c r="I11" i="6"/>
  <c r="D9" i="6"/>
  <c r="D10" i="6"/>
  <c r="F9" i="6"/>
  <c r="J9" i="6"/>
  <c r="F10" i="6"/>
  <c r="J10" i="6"/>
  <c r="F11" i="6"/>
  <c r="J11" i="6"/>
  <c r="H9" i="6"/>
  <c r="H10" i="6"/>
  <c r="D11" i="6"/>
  <c r="G9" i="6"/>
  <c r="K9" i="6"/>
  <c r="G10" i="6"/>
  <c r="K10" i="6"/>
  <c r="G11" i="6"/>
  <c r="K11" i="6"/>
  <c r="E25" i="5" l="1"/>
  <c r="D20" i="5" l="1"/>
  <c r="E24" i="5" s="1"/>
  <c r="E5" i="5"/>
  <c r="E4" i="5"/>
  <c r="E6" i="5"/>
  <c r="E11" i="5"/>
  <c r="E10" i="5"/>
  <c r="E9" i="5"/>
  <c r="E7" i="5"/>
  <c r="I18" i="3"/>
  <c r="I6" i="3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C15" i="1" s="1"/>
  <c r="J6" i="1"/>
  <c r="I6" i="1"/>
  <c r="H6" i="1"/>
  <c r="G6" i="1"/>
  <c r="F6" i="1"/>
  <c r="E6" i="1"/>
  <c r="D6" i="1"/>
  <c r="C6" i="1"/>
  <c r="E8" i="5" l="1"/>
  <c r="E13" i="5" l="1"/>
  <c r="E26" i="5" s="1"/>
  <c r="E34" i="5" l="1"/>
  <c r="E35" i="5"/>
  <c r="E36" i="5" l="1"/>
  <c r="E40" i="5" s="1"/>
  <c r="E41" i="5" s="1"/>
</calcChain>
</file>

<file path=xl/sharedStrings.xml><?xml version="1.0" encoding="utf-8"?>
<sst xmlns="http://schemas.openxmlformats.org/spreadsheetml/2006/main" count="104" uniqueCount="78">
  <si>
    <t>Past/Future Age Calculator</t>
  </si>
  <si>
    <t>FPL CALCULATOR</t>
  </si>
  <si>
    <t>House Hold Size</t>
  </si>
  <si>
    <t>100% FPL</t>
  </si>
  <si>
    <t>Enter Income (Yearly)--&gt;</t>
  </si>
  <si>
    <t>FPL Result</t>
  </si>
  <si>
    <t>INCOME CALCULATOR</t>
  </si>
  <si>
    <t>Enter FPL --&gt;</t>
  </si>
  <si>
    <t>Income Result (Yearly)</t>
  </si>
  <si>
    <t>Monthly Income</t>
  </si>
  <si>
    <t>Household Size</t>
  </si>
  <si>
    <t>For each additional person, add:</t>
  </si>
  <si>
    <t>Husky D</t>
  </si>
  <si>
    <t>Silver CSR 94 AV</t>
  </si>
  <si>
    <t>≤150%</t>
  </si>
  <si>
    <t>Silver CSR 87 AV</t>
  </si>
  <si>
    <t>≤200%</t>
  </si>
  <si>
    <t>Silver CSR 73 AV</t>
  </si>
  <si>
    <t>≤250%</t>
  </si>
  <si>
    <t>Husky A (Parents/Carertakers)</t>
  </si>
  <si>
    <t>Husky A (Children)</t>
  </si>
  <si>
    <t xml:space="preserve">CHIP/Husky B Band I </t>
  </si>
  <si>
    <t>CHIP/Husky B Band II</t>
  </si>
  <si>
    <t>Husky A for Pregnant Women</t>
  </si>
  <si>
    <t>Subsidy Limit</t>
  </si>
  <si>
    <t>Current Age Calculator</t>
  </si>
  <si>
    <t>Enter Date Of Birth (MM/DD/YYYY) ---&gt;</t>
  </si>
  <si>
    <t>AGE ---&gt;</t>
  </si>
  <si>
    <t>Enter Date Of Birth (MM/DD/YY) ---&gt;</t>
  </si>
  <si>
    <t>Enter Past/Future Date (MM/DD/YYYY)</t>
  </si>
  <si>
    <t>Second lowest cost silver plan and provider</t>
  </si>
  <si>
    <t>Connecticare Passage Silver Alternative PCP POS</t>
  </si>
  <si>
    <t>Anthem Silver PPO Pathway X</t>
  </si>
  <si>
    <t>Connecticare Silver Choice POS</t>
  </si>
  <si>
    <t>AGE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</si>
  <si>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</si>
  <si>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</si>
  <si>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</si>
  <si>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</si>
  <si>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</si>
  <si>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</si>
  <si>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</si>
  <si>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</si>
  <si>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Max APTC Calculation</t>
  </si>
  <si>
    <t xml:space="preserve">1. Determine which members in the household who are eligible for APTC and seeking to enroll in a QHP.  Input each individual's age at the time coverage begins and the primary applicant's county of residence.  Note: If the children are enrolled in creditable coverage at the time of the enrollment, they would be eligible for the QHP with APTC rather than CHIP coverage.  </t>
  </si>
  <si>
    <t>COST</t>
  </si>
  <si>
    <t>Member 1</t>
  </si>
  <si>
    <t>Member 2</t>
  </si>
  <si>
    <t>COUNTY</t>
  </si>
  <si>
    <t>Member 3</t>
  </si>
  <si>
    <t>Member 4</t>
  </si>
  <si>
    <t>Member 5</t>
  </si>
  <si>
    <t>Member 6</t>
  </si>
  <si>
    <t>Member 7</t>
  </si>
  <si>
    <t>Member 8</t>
  </si>
  <si>
    <t>Total Premium Cost</t>
  </si>
  <si>
    <t xml:space="preserve">2.  Input the household size and projected MAGI to determine the FPL percentage. Note: Include all the household members in the household size, even if they are not requesting coverage. </t>
  </si>
  <si>
    <t xml:space="preserve"> </t>
  </si>
  <si>
    <t>Income</t>
  </si>
  <si>
    <t>FPL%</t>
  </si>
  <si>
    <t>FPL Min</t>
  </si>
  <si>
    <t>FPL Max</t>
  </si>
  <si>
    <t>Premium % of Income</t>
  </si>
  <si>
    <t>Contribution Percentage</t>
  </si>
  <si>
    <t>Expected Annual Contribution</t>
  </si>
  <si>
    <t>4.  Determine the annual APTC by subtracting the Expected Annual Contribution from the Total Benchmark Cost.</t>
  </si>
  <si>
    <t>Total Benchmark Cost Annually</t>
  </si>
  <si>
    <t>Annual APTC</t>
  </si>
  <si>
    <t xml:space="preserve">5.  Determine the max monthly APTC by dividing the annual by 12. </t>
  </si>
  <si>
    <t>Monthly APTC</t>
  </si>
  <si>
    <t>3.  Use the household contribution percentage to determine the household's Expected Annual Contribution. Note: If over 400% FPL there is no contribution percentage max.</t>
  </si>
  <si>
    <t>=</t>
  </si>
  <si>
    <t>FPL 2018</t>
  </si>
  <si>
    <t>≤</t>
  </si>
  <si>
    <t>&lt;</t>
  </si>
  <si>
    <t xml:space="preserve">   *  = Medicaid eligibility for a single pregnant woman includes unborn child in household</t>
  </si>
  <si>
    <t>FPL 2019</t>
  </si>
  <si>
    <t>FPL Thresholds - Open Enrollment 6 (2019 Plan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</si>
</sst>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Trebuchet MS"/>
      <family val="2"/>
    </font>
    <font>
      <b/>
      <sz val="16"/>
      <color theme="0"/>
      <name val="Trebuchet MS"/>
      <family val="2"/>
    </font>
    <font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sz val="20"/>
      <color theme="1"/>
      <name val="Trebuchet MS"/>
      <family val="2"/>
    </font>
    <font>
      <sz val="16"/>
      <color theme="1"/>
      <name val="Book Antiqua"/>
      <family val="1"/>
    </font>
    <font>
      <sz val="9"/>
      <color theme="1"/>
      <name val="Trebuchet MS"/>
      <family val="2"/>
    </font>
    <font>
      <i/>
      <sz val="8"/>
      <color theme="1"/>
      <name val="Trebuchet MS"/>
      <family val="2"/>
    </font>
    <font>
      <sz val="14"/>
      <name val="Trebuchet MS"/>
      <family val="2"/>
    </font>
    <font>
      <b/>
      <sz val="9"/>
      <color theme="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color theme="1"/>
      <name val="Trebuchet MS"/>
      <family val="2"/>
    </font>
    <font>
      <sz val="9"/>
      <color theme="0" tint="-0.34998626667073579"/>
      <name val="Trebuchet MS"/>
      <family val="2"/>
    </font>
    <font>
      <sz val="14"/>
      <color theme="1"/>
      <name val="Trebuchet MS"/>
      <family val="2"/>
    </font>
    <font>
      <sz val="14"/>
      <color theme="5"/>
      <name val="Trebuchet MS"/>
      <family val="2"/>
    </font>
    <font>
      <b/>
      <sz val="16"/>
      <color rgb="FFEE7D00"/>
      <name val="Trebuchet MS"/>
      <family val="2"/>
    </font>
    <font>
      <b/>
      <sz val="12"/>
      <color theme="1"/>
      <name val="Trebuchet MS"/>
      <family val="2"/>
    </font>
    <font>
      <u/>
      <sz val="16"/>
      <color theme="1"/>
      <name val="Trebuchet MS"/>
      <family val="2"/>
    </font>
    <font>
      <sz val="12"/>
      <color rgb="FFEE7D00"/>
      <name val="Calibri"/>
      <family val="2"/>
      <scheme val="minor"/>
    </font>
    <font>
      <sz val="12"/>
      <color rgb="FFEE7D00"/>
      <name val="Trebuchet MS"/>
      <family val="2"/>
    </font>
    <font>
      <b/>
      <sz val="12"/>
      <color theme="0"/>
      <name val="Trebuchet MS"/>
      <family val="2"/>
    </font>
    <font>
      <b/>
      <u/>
      <sz val="20"/>
      <color theme="0"/>
      <name val="Trebuchet MS"/>
      <family val="2"/>
    </font>
    <font>
      <sz val="12"/>
      <color theme="1"/>
      <name val="Trebuchet MS"/>
      <family val="2"/>
    </font>
    <font>
      <b/>
      <sz val="11"/>
      <color theme="0"/>
      <name val="Trebuchet MS"/>
      <family val="2"/>
    </font>
    <font>
      <b/>
      <sz val="12"/>
      <color rgb="FFD67000"/>
      <name val="Trebuchet MS"/>
      <family val="2"/>
    </font>
    <font>
      <b/>
      <sz val="14"/>
      <color theme="0"/>
      <name val="Trebuchet MS"/>
      <family val="2"/>
    </font>
    <font>
      <b/>
      <sz val="16"/>
      <color rgb="FFD6700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DF5C"/>
        <bgColor indexed="64"/>
      </patternFill>
    </fill>
    <fill>
      <patternFill patternType="solid">
        <fgColor rgb="FFFEFAAC"/>
        <bgColor indexed="64"/>
      </patternFill>
    </fill>
    <fill>
      <patternFill patternType="solid">
        <fgColor rgb="FFEE7D00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3" borderId="7" xfId="0" applyFill="1" applyBorder="1"/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1" xfId="0" applyFont="1" applyFill="1" applyBorder="1"/>
    <xf numFmtId="9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right" vertical="center"/>
    </xf>
    <xf numFmtId="164" fontId="7" fillId="5" borderId="1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9" fontId="4" fillId="0" borderId="24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 vertical="center"/>
    </xf>
    <xf numFmtId="0" fontId="7" fillId="5" borderId="21" xfId="0" applyFont="1" applyFill="1" applyBorder="1" applyAlignment="1">
      <alignment horizontal="right" vertical="center"/>
    </xf>
    <xf numFmtId="166" fontId="7" fillId="5" borderId="22" xfId="0" applyNumberFormat="1" applyFont="1" applyFill="1" applyBorder="1" applyAlignment="1">
      <alignment horizontal="center" vertical="center"/>
    </xf>
    <xf numFmtId="166" fontId="7" fillId="5" borderId="23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center"/>
    </xf>
    <xf numFmtId="166" fontId="4" fillId="5" borderId="16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11" xfId="0" applyFill="1" applyBorder="1"/>
    <xf numFmtId="0" fontId="0" fillId="0" borderId="4" xfId="0" applyFill="1" applyBorder="1"/>
    <xf numFmtId="0" fontId="0" fillId="3" borderId="5" xfId="0" applyFill="1" applyBorder="1"/>
    <xf numFmtId="0" fontId="0" fillId="0" borderId="6" xfId="0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/>
    </xf>
    <xf numFmtId="0" fontId="13" fillId="7" borderId="8" xfId="0" applyNumberFormat="1" applyFont="1" applyFill="1" applyBorder="1" applyAlignment="1">
      <alignment horizontal="center" vertical="center"/>
    </xf>
    <xf numFmtId="0" fontId="13" fillId="7" borderId="9" xfId="0" applyNumberFormat="1" applyFont="1" applyFill="1" applyBorder="1" applyAlignment="1">
      <alignment horizontal="center" vertical="center"/>
    </xf>
    <xf numFmtId="0" fontId="13" fillId="7" borderId="10" xfId="0" applyNumberFormat="1" applyFont="1" applyFill="1" applyBorder="1" applyAlignment="1">
      <alignment horizontal="center" vertical="center"/>
    </xf>
    <xf numFmtId="5" fontId="15" fillId="8" borderId="9" xfId="1" applyNumberFormat="1" applyFont="1" applyFill="1" applyBorder="1" applyAlignment="1">
      <alignment horizontal="center" vertical="center"/>
    </xf>
    <xf numFmtId="42" fontId="10" fillId="3" borderId="0" xfId="0" applyNumberFormat="1" applyFont="1" applyFill="1" applyBorder="1"/>
    <xf numFmtId="42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0" fontId="0" fillId="0" borderId="4" xfId="0" applyBorder="1"/>
    <xf numFmtId="0" fontId="0" fillId="3" borderId="6" xfId="0" applyFill="1" applyBorder="1"/>
    <xf numFmtId="0" fontId="19" fillId="3" borderId="0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18" fillId="2" borderId="32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wrapText="1"/>
    </xf>
    <xf numFmtId="0" fontId="22" fillId="13" borderId="28" xfId="0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/>
    </xf>
    <xf numFmtId="44" fontId="4" fillId="2" borderId="32" xfId="0" applyNumberFormat="1" applyFont="1" applyFill="1" applyBorder="1"/>
    <xf numFmtId="44" fontId="4" fillId="11" borderId="32" xfId="0" applyNumberFormat="1" applyFont="1" applyFill="1" applyBorder="1"/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4" fillId="3" borderId="7" xfId="0" applyFont="1" applyFill="1" applyBorder="1"/>
    <xf numFmtId="0" fontId="27" fillId="3" borderId="1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"/>
    </xf>
    <xf numFmtId="44" fontId="4" fillId="10" borderId="14" xfId="0" applyNumberFormat="1" applyFont="1" applyFill="1" applyBorder="1" applyAlignment="1">
      <alignment horizontal="center"/>
    </xf>
    <xf numFmtId="0" fontId="28" fillId="8" borderId="47" xfId="0" applyFont="1" applyFill="1" applyBorder="1" applyAlignment="1">
      <alignment horizontal="center"/>
    </xf>
    <xf numFmtId="0" fontId="28" fillId="8" borderId="4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166" fontId="29" fillId="5" borderId="32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50" xfId="0" applyFont="1" applyFill="1" applyBorder="1"/>
    <xf numFmtId="0" fontId="27" fillId="10" borderId="18" xfId="0" applyFont="1" applyFill="1" applyBorder="1" applyAlignment="1">
      <alignment horizontal="right" vertical="center"/>
    </xf>
    <xf numFmtId="0" fontId="27" fillId="10" borderId="24" xfId="0" applyFont="1" applyFill="1" applyBorder="1" applyAlignment="1">
      <alignment horizontal="right" vertical="center"/>
    </xf>
    <xf numFmtId="0" fontId="25" fillId="8" borderId="8" xfId="0" applyFont="1" applyFill="1" applyBorder="1" applyAlignment="1">
      <alignment horizontal="right" vertical="center"/>
    </xf>
    <xf numFmtId="9" fontId="29" fillId="5" borderId="10" xfId="0" applyNumberFormat="1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 wrapText="1"/>
    </xf>
    <xf numFmtId="10" fontId="27" fillId="5" borderId="20" xfId="0" applyNumberFormat="1" applyFont="1" applyFill="1" applyBorder="1"/>
    <xf numFmtId="9" fontId="16" fillId="5" borderId="12" xfId="2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166" fontId="27" fillId="5" borderId="26" xfId="0" applyNumberFormat="1" applyFont="1" applyFill="1" applyBorder="1"/>
    <xf numFmtId="9" fontId="16" fillId="5" borderId="21" xfId="2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166" fontId="29" fillId="5" borderId="10" xfId="0" applyNumberFormat="1" applyFont="1" applyFill="1" applyBorder="1"/>
    <xf numFmtId="9" fontId="16" fillId="5" borderId="15" xfId="2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9" fontId="16" fillId="3" borderId="0" xfId="2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7" fillId="3" borderId="11" xfId="0" applyFont="1" applyFill="1" applyBorder="1" applyAlignment="1">
      <alignment wrapText="1"/>
    </xf>
    <xf numFmtId="166" fontId="27" fillId="5" borderId="20" xfId="0" applyNumberFormat="1" applyFont="1" applyFill="1" applyBorder="1"/>
    <xf numFmtId="166" fontId="29" fillId="5" borderId="10" xfId="0" applyNumberFormat="1" applyFont="1" applyFill="1" applyBorder="1" applyAlignment="1">
      <alignment vertical="center"/>
    </xf>
    <xf numFmtId="44" fontId="21" fillId="5" borderId="52" xfId="0" applyNumberFormat="1" applyFont="1" applyFill="1" applyBorder="1" applyAlignment="1">
      <alignment vertical="center"/>
    </xf>
    <xf numFmtId="44" fontId="4" fillId="3" borderId="0" xfId="0" applyNumberFormat="1" applyFont="1" applyFill="1" applyBorder="1"/>
    <xf numFmtId="42" fontId="31" fillId="5" borderId="32" xfId="0" applyNumberFormat="1" applyFont="1" applyFill="1" applyBorder="1" applyAlignment="1">
      <alignment vertical="center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/>
    </xf>
    <xf numFmtId="3" fontId="4" fillId="0" borderId="16" xfId="0" applyNumberFormat="1" applyFont="1" applyFill="1" applyBorder="1" applyAlignment="1" applyProtection="1">
      <alignment horizontal="center" wrapText="1"/>
    </xf>
    <xf numFmtId="3" fontId="4" fillId="0" borderId="17" xfId="0" applyNumberFormat="1" applyFont="1" applyFill="1" applyBorder="1" applyAlignment="1" applyProtection="1">
      <alignment horizontal="center"/>
    </xf>
    <xf numFmtId="165" fontId="6" fillId="0" borderId="19" xfId="0" applyNumberFormat="1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5" borderId="12" xfId="0" applyFont="1" applyFill="1" applyBorder="1" applyAlignment="1" applyProtection="1">
      <alignment horizontal="center"/>
      <protection locked="0"/>
    </xf>
    <xf numFmtId="0" fontId="27" fillId="5" borderId="21" xfId="0" applyFont="1" applyFill="1" applyBorder="1" applyAlignment="1" applyProtection="1">
      <alignment horizontal="center"/>
      <protection locked="0"/>
    </xf>
    <xf numFmtId="0" fontId="27" fillId="5" borderId="15" xfId="0" applyFont="1" applyFill="1" applyBorder="1" applyAlignment="1" applyProtection="1">
      <alignment horizontal="center"/>
      <protection locked="0"/>
    </xf>
    <xf numFmtId="0" fontId="27" fillId="5" borderId="20" xfId="0" applyFont="1" applyFill="1" applyBorder="1" applyAlignment="1" applyProtection="1">
      <alignment horizontal="center" vertical="center"/>
      <protection locked="0"/>
    </xf>
    <xf numFmtId="166" fontId="27" fillId="5" borderId="26" xfId="0" applyNumberFormat="1" applyFont="1" applyFill="1" applyBorder="1" applyAlignment="1" applyProtection="1">
      <alignment horizontal="center" vertical="center"/>
      <protection locked="0"/>
    </xf>
    <xf numFmtId="0" fontId="14" fillId="8" borderId="28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9" fontId="15" fillId="8" borderId="30" xfId="0" applyNumberFormat="1" applyFont="1" applyFill="1" applyBorder="1" applyAlignment="1">
      <alignment horizontal="center" vertical="center"/>
    </xf>
    <xf numFmtId="42" fontId="10" fillId="8" borderId="11" xfId="0" applyNumberFormat="1" applyFont="1" applyFill="1" applyBorder="1"/>
    <xf numFmtId="0" fontId="14" fillId="8" borderId="7" xfId="0" applyFont="1" applyFill="1" applyBorder="1" applyAlignment="1">
      <alignment horizontal="center" vertical="center"/>
    </xf>
    <xf numFmtId="0" fontId="14" fillId="8" borderId="58" xfId="0" applyFont="1" applyFill="1" applyBorder="1" applyAlignment="1">
      <alignment horizontal="center" vertical="center"/>
    </xf>
    <xf numFmtId="9" fontId="15" fillId="8" borderId="11" xfId="0" applyNumberFormat="1" applyFont="1" applyFill="1" applyBorder="1" applyAlignment="1">
      <alignment horizontal="center" vertical="center"/>
    </xf>
    <xf numFmtId="5" fontId="15" fillId="8" borderId="58" xfId="1" applyNumberFormat="1" applyFont="1" applyFill="1" applyBorder="1" applyAlignment="1">
      <alignment horizontal="center" vertical="center"/>
    </xf>
    <xf numFmtId="5" fontId="15" fillId="8" borderId="59" xfId="1" applyNumberFormat="1" applyFont="1" applyFill="1" applyBorder="1" applyAlignment="1">
      <alignment horizontal="center" vertical="center"/>
    </xf>
    <xf numFmtId="42" fontId="10" fillId="8" borderId="16" xfId="0" applyNumberFormat="1" applyFont="1" applyFill="1" applyBorder="1"/>
    <xf numFmtId="0" fontId="16" fillId="0" borderId="4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9" fontId="10" fillId="0" borderId="6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9" fontId="10" fillId="7" borderId="60" xfId="0" applyNumberFormat="1" applyFont="1" applyFill="1" applyBorder="1" applyAlignment="1">
      <alignment horizontal="center" vertical="center"/>
    </xf>
    <xf numFmtId="4" fontId="10" fillId="7" borderId="22" xfId="0" applyNumberFormat="1" applyFont="1" applyFill="1" applyBorder="1" applyAlignment="1">
      <alignment horizontal="center" vertical="center"/>
    </xf>
    <xf numFmtId="4" fontId="10" fillId="7" borderId="23" xfId="0" applyNumberFormat="1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9" fontId="10" fillId="6" borderId="60" xfId="0" applyNumberFormat="1" applyFont="1" applyFill="1" applyBorder="1" applyAlignment="1">
      <alignment horizontal="center" vertical="center"/>
    </xf>
    <xf numFmtId="4" fontId="10" fillId="6" borderId="22" xfId="0" applyNumberFormat="1" applyFont="1" applyFill="1" applyBorder="1" applyAlignment="1">
      <alignment horizontal="center" vertical="center"/>
    </xf>
    <xf numFmtId="4" fontId="10" fillId="6" borderId="23" xfId="0" applyNumberFormat="1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9" fontId="10" fillId="9" borderId="60" xfId="0" applyNumberFormat="1" applyFont="1" applyFill="1" applyBorder="1" applyAlignment="1">
      <alignment horizontal="center" vertical="center"/>
    </xf>
    <xf numFmtId="4" fontId="10" fillId="9" borderId="22" xfId="0" applyNumberFormat="1" applyFont="1" applyFill="1" applyBorder="1" applyAlignment="1">
      <alignment horizontal="center" vertical="center"/>
    </xf>
    <xf numFmtId="4" fontId="10" fillId="9" borderId="23" xfId="0" applyNumberFormat="1" applyFont="1" applyFill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9" fontId="10" fillId="3" borderId="60" xfId="0" applyNumberFormat="1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9" fontId="10" fillId="0" borderId="39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4" fontId="15" fillId="8" borderId="9" xfId="0" applyNumberFormat="1" applyFont="1" applyFill="1" applyBorder="1" applyAlignment="1">
      <alignment horizontal="center" vertical="center"/>
    </xf>
    <xf numFmtId="4" fontId="15" fillId="8" borderId="1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wrapText="1"/>
    </xf>
    <xf numFmtId="0" fontId="16" fillId="10" borderId="49" xfId="0" applyFont="1" applyFill="1" applyBorder="1" applyAlignment="1">
      <alignment horizontal="center" vertical="center"/>
    </xf>
    <xf numFmtId="9" fontId="16" fillId="5" borderId="43" xfId="2" applyFont="1" applyFill="1" applyBorder="1" applyAlignment="1">
      <alignment horizontal="center"/>
    </xf>
    <xf numFmtId="9" fontId="16" fillId="5" borderId="45" xfId="2" applyFont="1" applyFill="1" applyBorder="1" applyAlignment="1">
      <alignment horizontal="center"/>
    </xf>
    <xf numFmtId="9" fontId="16" fillId="5" borderId="53" xfId="2" applyFont="1" applyFill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16" fillId="5" borderId="22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10" borderId="9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/>
    </xf>
    <xf numFmtId="0" fontId="27" fillId="3" borderId="0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42" fontId="12" fillId="6" borderId="28" xfId="0" applyNumberFormat="1" applyFont="1" applyFill="1" applyBorder="1" applyAlignment="1">
      <alignment horizontal="center" vertical="center"/>
    </xf>
    <xf numFmtId="42" fontId="12" fillId="6" borderId="29" xfId="0" applyNumberFormat="1" applyFont="1" applyFill="1" applyBorder="1" applyAlignment="1">
      <alignment horizontal="center" vertical="center"/>
    </xf>
    <xf numFmtId="42" fontId="12" fillId="6" borderId="30" xfId="0" applyNumberFormat="1" applyFont="1" applyFill="1" applyBorder="1" applyAlignment="1">
      <alignment horizontal="center" vertical="center"/>
    </xf>
    <xf numFmtId="42" fontId="11" fillId="0" borderId="27" xfId="0" applyNumberFormat="1" applyFont="1" applyFill="1" applyBorder="1" applyAlignment="1">
      <alignment horizontal="center" vertical="center" wrapText="1"/>
    </xf>
    <xf numFmtId="42" fontId="11" fillId="0" borderId="31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18" fillId="10" borderId="12" xfId="3" applyFont="1" applyFill="1" applyBorder="1" applyAlignment="1">
      <alignment horizontal="right" vertical="center"/>
    </xf>
    <xf numFmtId="0" fontId="18" fillId="10" borderId="13" xfId="3" applyFont="1" applyFill="1" applyBorder="1" applyAlignment="1">
      <alignment horizontal="right" vertical="center"/>
    </xf>
    <xf numFmtId="0" fontId="18" fillId="10" borderId="21" xfId="3" applyFont="1" applyFill="1" applyBorder="1" applyAlignment="1">
      <alignment horizontal="right" vertical="center"/>
    </xf>
    <xf numFmtId="0" fontId="18" fillId="10" borderId="22" xfId="3" applyFont="1" applyFill="1" applyBorder="1" applyAlignment="1">
      <alignment horizontal="right" vertical="center"/>
    </xf>
    <xf numFmtId="14" fontId="18" fillId="5" borderId="13" xfId="3" applyNumberFormat="1" applyFont="1" applyFill="1" applyBorder="1" applyAlignment="1" applyProtection="1">
      <alignment horizontal="center" vertical="center"/>
      <protection locked="0"/>
    </xf>
    <xf numFmtId="14" fontId="18" fillId="5" borderId="14" xfId="3" applyNumberFormat="1" applyFont="1" applyFill="1" applyBorder="1" applyAlignment="1" applyProtection="1">
      <alignment horizontal="center" vertical="center"/>
      <protection locked="0"/>
    </xf>
    <xf numFmtId="14" fontId="18" fillId="5" borderId="22" xfId="3" applyNumberFormat="1" applyFont="1" applyFill="1" applyBorder="1" applyAlignment="1" applyProtection="1">
      <alignment horizontal="center" vertical="center"/>
      <protection locked="0"/>
    </xf>
    <xf numFmtId="14" fontId="18" fillId="5" borderId="23" xfId="3" applyNumberFormat="1" applyFont="1" applyFill="1" applyBorder="1" applyAlignment="1" applyProtection="1">
      <alignment horizontal="center" vertical="center"/>
      <protection locked="0"/>
    </xf>
    <xf numFmtId="0" fontId="18" fillId="10" borderId="35" xfId="3" applyFont="1" applyFill="1" applyBorder="1" applyAlignment="1">
      <alignment horizontal="right" vertical="center"/>
    </xf>
    <xf numFmtId="0" fontId="18" fillId="10" borderId="36" xfId="3" applyFont="1" applyFill="1" applyBorder="1" applyAlignment="1">
      <alignment horizontal="right" vertical="center"/>
    </xf>
    <xf numFmtId="0" fontId="18" fillId="10" borderId="34" xfId="3" applyFont="1" applyFill="1" applyBorder="1" applyAlignment="1">
      <alignment horizontal="right" vertical="center"/>
    </xf>
    <xf numFmtId="0" fontId="18" fillId="10" borderId="4" xfId="3" applyFont="1" applyFill="1" applyBorder="1" applyAlignment="1">
      <alignment horizontal="right" vertical="center"/>
    </xf>
    <xf numFmtId="0" fontId="18" fillId="10" borderId="5" xfId="3" applyFont="1" applyFill="1" applyBorder="1" applyAlignment="1">
      <alignment horizontal="right" vertical="center"/>
    </xf>
    <xf numFmtId="0" fontId="18" fillId="10" borderId="37" xfId="3" applyFont="1" applyFill="1" applyBorder="1" applyAlignment="1">
      <alignment horizontal="right" vertical="center"/>
    </xf>
    <xf numFmtId="0" fontId="18" fillId="5" borderId="22" xfId="3" applyFont="1" applyFill="1" applyBorder="1" applyAlignment="1" applyProtection="1">
      <alignment horizontal="center" vertical="center"/>
    </xf>
    <xf numFmtId="0" fontId="18" fillId="5" borderId="23" xfId="3" applyFont="1" applyFill="1" applyBorder="1" applyAlignment="1" applyProtection="1">
      <alignment horizontal="center" vertical="center"/>
    </xf>
    <xf numFmtId="0" fontId="18" fillId="5" borderId="16" xfId="3" applyFont="1" applyFill="1" applyBorder="1" applyAlignment="1" applyProtection="1">
      <alignment horizontal="center" vertical="center"/>
    </xf>
    <xf numFmtId="0" fontId="18" fillId="5" borderId="17" xfId="3" applyFont="1" applyFill="1" applyBorder="1" applyAlignment="1" applyProtection="1">
      <alignment horizontal="center" vertical="center"/>
    </xf>
    <xf numFmtId="0" fontId="18" fillId="10" borderId="35" xfId="3" applyFont="1" applyFill="1" applyBorder="1" applyAlignment="1">
      <alignment horizontal="center" vertical="center"/>
    </xf>
    <xf numFmtId="0" fontId="18" fillId="10" borderId="36" xfId="3" applyFont="1" applyFill="1" applyBorder="1" applyAlignment="1">
      <alignment horizontal="center" vertical="center"/>
    </xf>
    <xf numFmtId="0" fontId="18" fillId="10" borderId="34" xfId="3" applyFont="1" applyFill="1" applyBorder="1" applyAlignment="1">
      <alignment horizontal="center" vertical="center"/>
    </xf>
    <xf numFmtId="0" fontId="18" fillId="10" borderId="40" xfId="3" applyFont="1" applyFill="1" applyBorder="1" applyAlignment="1">
      <alignment horizontal="center" vertical="center"/>
    </xf>
    <xf numFmtId="0" fontId="18" fillId="10" borderId="41" xfId="3" applyFont="1" applyFill="1" applyBorder="1" applyAlignment="1">
      <alignment horizontal="center" vertical="center"/>
    </xf>
    <xf numFmtId="0" fontId="18" fillId="10" borderId="42" xfId="3" applyFont="1" applyFill="1" applyBorder="1" applyAlignment="1">
      <alignment horizontal="center" vertical="center"/>
    </xf>
    <xf numFmtId="14" fontId="18" fillId="5" borderId="38" xfId="3" applyNumberFormat="1" applyFont="1" applyFill="1" applyBorder="1" applyAlignment="1" applyProtection="1">
      <alignment horizontal="center" vertical="center"/>
      <protection locked="0"/>
    </xf>
    <xf numFmtId="14" fontId="18" fillId="5" borderId="36" xfId="3" applyNumberFormat="1" applyFont="1" applyFill="1" applyBorder="1" applyAlignment="1" applyProtection="1">
      <alignment horizontal="center" vertical="center"/>
      <protection locked="0"/>
    </xf>
    <xf numFmtId="14" fontId="18" fillId="5" borderId="39" xfId="3" applyNumberFormat="1" applyFont="1" applyFill="1" applyBorder="1" applyAlignment="1" applyProtection="1">
      <alignment horizontal="center" vertical="center"/>
      <protection locked="0"/>
    </xf>
    <xf numFmtId="14" fontId="18" fillId="5" borderId="43" xfId="3" applyNumberFormat="1" applyFont="1" applyFill="1" applyBorder="1" applyAlignment="1" applyProtection="1">
      <alignment horizontal="center" vertical="center"/>
      <protection locked="0"/>
    </xf>
    <xf numFmtId="14" fontId="18" fillId="5" borderId="41" xfId="3" applyNumberFormat="1" applyFont="1" applyFill="1" applyBorder="1" applyAlignment="1" applyProtection="1">
      <alignment horizontal="center" vertical="center"/>
      <protection locked="0"/>
    </xf>
    <xf numFmtId="14" fontId="18" fillId="5" borderId="44" xfId="3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5" fillId="8" borderId="28" xfId="0" applyFont="1" applyFill="1" applyBorder="1" applyAlignment="1">
      <alignment horizontal="right"/>
    </xf>
    <xf numFmtId="0" fontId="25" fillId="8" borderId="33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left" wrapText="1"/>
    </xf>
    <xf numFmtId="0" fontId="27" fillId="10" borderId="46" xfId="0" applyFont="1" applyFill="1" applyBorder="1" applyAlignment="1">
      <alignment horizontal="right"/>
    </xf>
    <xf numFmtId="0" fontId="27" fillId="10" borderId="51" xfId="0" applyFont="1" applyFill="1" applyBorder="1" applyAlignment="1">
      <alignment horizontal="right"/>
    </xf>
    <xf numFmtId="0" fontId="27" fillId="0" borderId="2" xfId="0" applyFont="1" applyBorder="1" applyAlignment="1">
      <alignment horizontal="left" vertical="center" wrapText="1"/>
    </xf>
    <xf numFmtId="0" fontId="25" fillId="8" borderId="46" xfId="0" applyFont="1" applyFill="1" applyBorder="1" applyAlignment="1">
      <alignment horizontal="center"/>
    </xf>
    <xf numFmtId="0" fontId="25" fillId="8" borderId="56" xfId="0" applyFont="1" applyFill="1" applyBorder="1" applyAlignment="1">
      <alignment horizontal="center"/>
    </xf>
    <xf numFmtId="0" fontId="25" fillId="8" borderId="57" xfId="0" applyFont="1" applyFill="1" applyBorder="1" applyAlignment="1">
      <alignment horizontal="center"/>
    </xf>
    <xf numFmtId="0" fontId="27" fillId="5" borderId="48" xfId="0" applyFont="1" applyFill="1" applyBorder="1" applyAlignment="1" applyProtection="1">
      <alignment horizontal="center" vertical="center"/>
      <protection locked="0"/>
    </xf>
    <xf numFmtId="0" fontId="27" fillId="5" borderId="54" xfId="0" applyFont="1" applyFill="1" applyBorder="1" applyAlignment="1" applyProtection="1">
      <alignment horizontal="center" vertical="center"/>
      <protection locked="0"/>
    </xf>
    <xf numFmtId="0" fontId="27" fillId="5" borderId="55" xfId="0" applyFont="1" applyFill="1" applyBorder="1" applyAlignment="1" applyProtection="1">
      <alignment horizontal="center" vertical="center"/>
      <protection locked="0"/>
    </xf>
    <xf numFmtId="0" fontId="25" fillId="8" borderId="8" xfId="0" applyFont="1" applyFill="1" applyBorder="1" applyAlignment="1">
      <alignment horizontal="center" vertical="center"/>
    </xf>
    <xf numFmtId="0" fontId="25" fillId="8" borderId="49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/>
    </xf>
    <xf numFmtId="0" fontId="26" fillId="8" borderId="29" xfId="0" applyFont="1" applyFill="1" applyBorder="1" applyAlignment="1">
      <alignment horizontal="center" vertical="center"/>
    </xf>
    <xf numFmtId="0" fontId="26" fillId="8" borderId="3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left" vertical="center" wrapText="1"/>
    </xf>
    <xf numFmtId="0" fontId="27" fillId="10" borderId="35" xfId="0" applyFont="1" applyFill="1" applyBorder="1" applyAlignment="1">
      <alignment horizontal="right"/>
    </xf>
    <xf numFmtId="0" fontId="27" fillId="10" borderId="34" xfId="0" applyFont="1" applyFill="1" applyBorder="1" applyAlignment="1">
      <alignment horizontal="right"/>
    </xf>
    <xf numFmtId="0" fontId="25" fillId="8" borderId="28" xfId="0" applyFont="1" applyFill="1" applyBorder="1" applyAlignment="1">
      <alignment horizontal="right" vertical="center"/>
    </xf>
    <xf numFmtId="0" fontId="25" fillId="8" borderId="33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right" vertical="center"/>
    </xf>
    <xf numFmtId="0" fontId="12" fillId="10" borderId="19" xfId="0" applyFont="1" applyFill="1" applyBorder="1" applyAlignment="1">
      <alignment horizontal="right" vertical="center"/>
    </xf>
    <xf numFmtId="0" fontId="30" fillId="8" borderId="15" xfId="0" applyFont="1" applyFill="1" applyBorder="1" applyAlignment="1">
      <alignment horizontal="right" vertical="center"/>
    </xf>
    <xf numFmtId="0" fontId="30" fillId="8" borderId="53" xfId="0" applyFont="1" applyFill="1" applyBorder="1" applyAlignment="1">
      <alignment horizontal="right" vertical="center"/>
    </xf>
  </cellXfs>
  <cellStyles count="4">
    <cellStyle name="Currency" xfId="1" builtinId="4"/>
    <cellStyle name="Normal" xfId="0" builtinId="0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janal\Documents\Copy%20of%202017%20APTC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Thresholds"/>
      <sheetName val="Age"/>
      <sheetName val="Benchmarks"/>
      <sheetName val="APTC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"/>
  <sheetViews>
    <sheetView workbookViewId="0">
      <selection activeCell="B4" sqref="B4:H5"/>
    </sheetView>
  </sheetViews>
  <sheetFormatPr defaultRowHeight="15" x14ac:dyDescent="0.25"/>
  <cols>
    <col min="2" max="2" width="26.28515625" customWidth="1"/>
    <col min="3" max="4" width="13.42578125" bestFit="1" customWidth="1"/>
    <col min="5" max="5" width="14.140625" customWidth="1"/>
    <col min="6" max="6" width="14.28515625" customWidth="1"/>
    <col min="7" max="7" width="14.42578125" customWidth="1"/>
    <col min="8" max="8" width="13.28515625" customWidth="1"/>
    <col min="9" max="9" width="13.140625" customWidth="1"/>
    <col min="10" max="10" width="13.5703125" customWidth="1"/>
  </cols>
  <sheetData>
    <row r="1" spans="1:11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1.75" thickBot="1" x14ac:dyDescent="0.3">
      <c r="A2" s="4"/>
      <c r="B2" s="175" t="s">
        <v>1</v>
      </c>
      <c r="C2" s="176"/>
      <c r="D2" s="176"/>
      <c r="E2" s="176"/>
      <c r="F2" s="176"/>
      <c r="G2" s="176"/>
      <c r="H2" s="176"/>
      <c r="I2" s="176"/>
      <c r="J2" s="177"/>
      <c r="K2" s="5"/>
    </row>
    <row r="3" spans="1:11" ht="16.5" x14ac:dyDescent="0.3">
      <c r="A3" s="6"/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9">
        <v>8</v>
      </c>
      <c r="K3" s="10"/>
    </row>
    <row r="4" spans="1:11" ht="17.25" thickBot="1" x14ac:dyDescent="0.35">
      <c r="A4" s="6"/>
      <c r="B4" s="11" t="s">
        <v>3</v>
      </c>
      <c r="C4" s="12">
        <v>12140</v>
      </c>
      <c r="D4" s="12">
        <v>16460</v>
      </c>
      <c r="E4" s="12">
        <v>20780</v>
      </c>
      <c r="F4" s="12">
        <v>25100</v>
      </c>
      <c r="G4" s="13">
        <v>29420</v>
      </c>
      <c r="H4" s="12">
        <v>33740</v>
      </c>
      <c r="I4" s="12">
        <v>38060</v>
      </c>
      <c r="J4" s="14">
        <v>42380</v>
      </c>
      <c r="K4" s="10"/>
    </row>
    <row r="5" spans="1:11" ht="16.5" x14ac:dyDescent="0.25">
      <c r="A5" s="4"/>
      <c r="B5" s="15" t="s">
        <v>4</v>
      </c>
      <c r="C5" s="111">
        <v>16643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2">
        <v>0</v>
      </c>
      <c r="K5" s="5"/>
    </row>
    <row r="6" spans="1:11" ht="17.25" thickBot="1" x14ac:dyDescent="0.3">
      <c r="A6" s="4"/>
      <c r="B6" s="16" t="s">
        <v>5</v>
      </c>
      <c r="C6" s="17">
        <f>(C5/C4)</f>
        <v>1.3709225700164744</v>
      </c>
      <c r="D6" s="17">
        <f t="shared" ref="D6:J6" si="0">(D5/D4)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5"/>
    </row>
    <row r="7" spans="1:11" ht="16.5" x14ac:dyDescent="0.3">
      <c r="A7" s="6"/>
      <c r="B7" s="18"/>
      <c r="C7" s="18"/>
      <c r="D7" s="18"/>
      <c r="E7" s="18"/>
      <c r="F7" s="18"/>
      <c r="G7" s="18"/>
      <c r="H7" s="18"/>
      <c r="I7" s="18"/>
      <c r="J7" s="18"/>
      <c r="K7" s="10"/>
    </row>
    <row r="8" spans="1:11" ht="16.5" x14ac:dyDescent="0.3">
      <c r="A8" s="6"/>
      <c r="B8" s="18"/>
      <c r="C8" s="18"/>
      <c r="D8" s="18"/>
      <c r="E8" s="18"/>
      <c r="F8" s="18"/>
      <c r="G8" s="18"/>
      <c r="H8" s="18"/>
      <c r="I8" s="18"/>
      <c r="J8" s="18"/>
      <c r="K8" s="10"/>
    </row>
    <row r="9" spans="1:11" ht="17.25" thickBot="1" x14ac:dyDescent="0.35">
      <c r="A9" s="6"/>
      <c r="B9" s="18"/>
      <c r="C9" s="18"/>
      <c r="D9" s="18"/>
      <c r="E9" s="18"/>
      <c r="F9" s="18"/>
      <c r="G9" s="18"/>
      <c r="H9" s="18"/>
      <c r="I9" s="18"/>
      <c r="J9" s="18"/>
      <c r="K9" s="10"/>
    </row>
    <row r="10" spans="1:11" ht="21" x14ac:dyDescent="0.25">
      <c r="A10" s="4"/>
      <c r="B10" s="178" t="s">
        <v>6</v>
      </c>
      <c r="C10" s="179"/>
      <c r="D10" s="179"/>
      <c r="E10" s="179"/>
      <c r="F10" s="179"/>
      <c r="G10" s="179"/>
      <c r="H10" s="179"/>
      <c r="I10" s="179"/>
      <c r="J10" s="180"/>
      <c r="K10" s="5"/>
    </row>
    <row r="11" spans="1:11" ht="16.5" x14ac:dyDescent="0.3">
      <c r="A11" s="6"/>
      <c r="B11" s="19" t="s">
        <v>2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1">
        <v>8</v>
      </c>
      <c r="K11" s="10"/>
    </row>
    <row r="12" spans="1:11" ht="17.25" thickBot="1" x14ac:dyDescent="0.35">
      <c r="A12" s="6"/>
      <c r="B12" s="22" t="s">
        <v>3</v>
      </c>
      <c r="C12" s="113">
        <v>12140</v>
      </c>
      <c r="D12" s="113">
        <v>16460</v>
      </c>
      <c r="E12" s="113">
        <v>20780</v>
      </c>
      <c r="F12" s="113">
        <v>25100</v>
      </c>
      <c r="G12" s="114">
        <v>29420</v>
      </c>
      <c r="H12" s="113">
        <v>33740</v>
      </c>
      <c r="I12" s="113">
        <v>38060</v>
      </c>
      <c r="J12" s="115">
        <v>42380</v>
      </c>
      <c r="K12" s="10"/>
    </row>
    <row r="13" spans="1:11" ht="16.5" x14ac:dyDescent="0.25">
      <c r="A13" s="4"/>
      <c r="B13" s="23" t="s">
        <v>7</v>
      </c>
      <c r="C13" s="116">
        <v>138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7">
        <v>0</v>
      </c>
      <c r="K13" s="5"/>
    </row>
    <row r="14" spans="1:11" ht="16.5" x14ac:dyDescent="0.25">
      <c r="A14" s="4"/>
      <c r="B14" s="24" t="s">
        <v>8</v>
      </c>
      <c r="C14" s="25">
        <f xml:space="preserve"> (C13*C12)/100</f>
        <v>16753.2</v>
      </c>
      <c r="D14" s="25">
        <f t="shared" ref="D14:J14" si="1" xml:space="preserve"> (D13*D12)/100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6">
        <f t="shared" si="1"/>
        <v>0</v>
      </c>
      <c r="K14" s="5"/>
    </row>
    <row r="15" spans="1:11" ht="17.25" thickBot="1" x14ac:dyDescent="0.3">
      <c r="A15" s="4"/>
      <c r="B15" s="27" t="s">
        <v>9</v>
      </c>
      <c r="C15" s="28">
        <f>C14/12</f>
        <v>1396.1000000000001</v>
      </c>
      <c r="D15" s="28">
        <f t="shared" ref="D15:J15" si="2">D14/12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5"/>
    </row>
    <row r="16" spans="1:11" x14ac:dyDescent="0.25">
      <c r="A16" s="6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ht="15.75" thickBot="1" x14ac:dyDescent="0.3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</row>
  </sheetData>
  <sheetProtection algorithmName="SHA-512" hashValue="HQZNXIaAdfzLd0MLBmJk1WM9996Y6mLNjIpFqx9tV1ZqNuj0hVpPPv08nLxpD1LyXfZDsjLLU1FkIGKHHPjJHg==" saltValue="/+UYR5xejt395mW7hY5UiA==" spinCount="100000" sheet="1" objects="1" scenarios="1"/>
  <protectedRanges>
    <protectedRange sqref="C13:J13" name="Range2_1"/>
    <protectedRange sqref="C5:J5" name="Range1_1"/>
  </protectedRanges>
  <mergeCells count="2">
    <mergeCell ref="B2:J2"/>
    <mergeCell ref="B10:J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2"/>
  <sheetViews>
    <sheetView tabSelected="1" workbookViewId="0">
      <selection sqref="A1:K1"/>
    </sheetView>
  </sheetViews>
  <sheetFormatPr defaultRowHeight="15" x14ac:dyDescent="0.25"/>
  <cols>
    <col min="1" max="1" width="11.7109375" customWidth="1"/>
    <col min="2" max="2" width="11.5703125" customWidth="1"/>
    <col min="3" max="3" width="19.7109375" customWidth="1"/>
    <col min="4" max="4" width="13.42578125" customWidth="1"/>
    <col min="5" max="5" width="15.140625" customWidth="1"/>
    <col min="7" max="7" width="11" customWidth="1"/>
    <col min="9" max="10" width="11.7109375" customWidth="1"/>
    <col min="11" max="11" width="12.28515625" customWidth="1"/>
  </cols>
  <sheetData>
    <row r="1" spans="1:11" ht="28.5" thickBot="1" x14ac:dyDescent="0.3">
      <c r="A1" s="243" t="s">
        <v>43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ht="78.75" customHeight="1" thickBot="1" x14ac:dyDescent="0.35">
      <c r="A2" s="70"/>
      <c r="B2" s="234" t="s">
        <v>44</v>
      </c>
      <c r="C2" s="234"/>
      <c r="D2" s="234"/>
      <c r="E2" s="234"/>
      <c r="F2" s="234"/>
      <c r="G2" s="234"/>
      <c r="H2" s="234"/>
      <c r="I2" s="234"/>
      <c r="J2" s="168"/>
      <c r="K2" s="71"/>
    </row>
    <row r="3" spans="1:11" ht="17.25" thickBot="1" x14ac:dyDescent="0.3">
      <c r="A3" s="72"/>
      <c r="B3" s="73"/>
      <c r="C3" s="74"/>
      <c r="D3" s="75" t="s">
        <v>34</v>
      </c>
      <c r="E3" s="76" t="s">
        <v>45</v>
      </c>
      <c r="F3" s="34"/>
      <c r="G3" s="34"/>
      <c r="H3" s="34"/>
      <c r="I3" s="34"/>
      <c r="J3" s="34"/>
      <c r="K3" s="5"/>
    </row>
    <row r="4" spans="1:11" ht="18.75" thickBot="1" x14ac:dyDescent="0.4">
      <c r="A4" s="70"/>
      <c r="B4" s="35"/>
      <c r="C4" s="77" t="s">
        <v>46</v>
      </c>
      <c r="D4" s="118">
        <v>43</v>
      </c>
      <c r="E4" s="78">
        <f>VLOOKUP(D4,Benchmarks!A5:I68,(HLOOKUP(G6,Benchmarks!B3:I4,2)))</f>
        <v>474.14</v>
      </c>
      <c r="F4" s="35"/>
      <c r="G4" s="35"/>
      <c r="H4" s="35"/>
      <c r="I4" s="35"/>
      <c r="J4" s="35"/>
      <c r="K4" s="10"/>
    </row>
    <row r="5" spans="1:11" ht="18" x14ac:dyDescent="0.35">
      <c r="A5" s="70"/>
      <c r="B5" s="35"/>
      <c r="C5" s="79" t="s">
        <v>47</v>
      </c>
      <c r="D5" s="119"/>
      <c r="E5" s="78" t="str">
        <f>IFERROR(VLOOKUP(D5,Benchmarks!A5:I68,(HLOOKUP(G6,Benchmarks!B3:I4,2))), " ")</f>
        <v xml:space="preserve"> </v>
      </c>
      <c r="F5" s="35"/>
      <c r="G5" s="235" t="s">
        <v>48</v>
      </c>
      <c r="H5" s="236"/>
      <c r="I5" s="237"/>
      <c r="J5" s="173"/>
      <c r="K5" s="10"/>
    </row>
    <row r="6" spans="1:11" ht="18.75" thickBot="1" x14ac:dyDescent="0.4">
      <c r="A6" s="70"/>
      <c r="B6" s="35"/>
      <c r="C6" s="79" t="s">
        <v>49</v>
      </c>
      <c r="D6" s="119"/>
      <c r="E6" s="78" t="str">
        <f>IFERROR(VLOOKUP(D6,Benchmarks!A5:I68,(HLOOKUP(G6,Benchmarks!B3:I4,2))), " ")</f>
        <v xml:space="preserve"> </v>
      </c>
      <c r="F6" s="35"/>
      <c r="G6" s="238" t="s">
        <v>42</v>
      </c>
      <c r="H6" s="239"/>
      <c r="I6" s="240"/>
      <c r="J6" s="174"/>
      <c r="K6" s="10"/>
    </row>
    <row r="7" spans="1:11" ht="18" x14ac:dyDescent="0.35">
      <c r="A7" s="70"/>
      <c r="B7" s="35"/>
      <c r="C7" s="79" t="s">
        <v>50</v>
      </c>
      <c r="D7" s="119"/>
      <c r="E7" s="78" t="str">
        <f>IFERROR(VLOOKUP(D7,Benchmarks!A5:I68,(HLOOKUP(G6,Benchmarks!B3:I4,2))), " ")</f>
        <v xml:space="preserve"> </v>
      </c>
      <c r="F7" s="35"/>
      <c r="G7" s="35"/>
      <c r="H7" s="35"/>
      <c r="I7" s="35"/>
      <c r="J7" s="35"/>
      <c r="K7" s="10"/>
    </row>
    <row r="8" spans="1:11" ht="18" x14ac:dyDescent="0.35">
      <c r="A8" s="70"/>
      <c r="B8" s="35"/>
      <c r="C8" s="79" t="s">
        <v>51</v>
      </c>
      <c r="D8" s="119"/>
      <c r="E8" s="78" t="str">
        <f>IFERROR(VLOOKUP(D8,Benchmarks!A5:I68,(HLOOKUP(G6,Benchmarks!B3:I4,2))), " ")</f>
        <v xml:space="preserve"> </v>
      </c>
      <c r="F8" s="35"/>
      <c r="G8" s="35"/>
      <c r="H8" s="35"/>
      <c r="I8" s="35"/>
      <c r="J8" s="35"/>
      <c r="K8" s="10"/>
    </row>
    <row r="9" spans="1:11" ht="18" x14ac:dyDescent="0.35">
      <c r="A9" s="70"/>
      <c r="B9" s="35"/>
      <c r="C9" s="79" t="s">
        <v>52</v>
      </c>
      <c r="D9" s="119"/>
      <c r="E9" s="78" t="str">
        <f>IFERROR(VLOOKUP(D9,Benchmarks!A5:I68,(HLOOKUP(G6,Benchmarks!B3:I4,2))), " ")</f>
        <v xml:space="preserve"> </v>
      </c>
      <c r="F9" s="35"/>
      <c r="G9" s="35"/>
      <c r="H9" s="35"/>
      <c r="I9" s="35"/>
      <c r="J9" s="35"/>
      <c r="K9" s="10"/>
    </row>
    <row r="10" spans="1:11" ht="18" x14ac:dyDescent="0.35">
      <c r="A10" s="70"/>
      <c r="B10" s="35"/>
      <c r="C10" s="79" t="s">
        <v>53</v>
      </c>
      <c r="D10" s="119"/>
      <c r="E10" s="78" t="str">
        <f>IFERROR(VLOOKUP(D10,Benchmarks!A5:I68,(HLOOKUP(G6,Benchmarks!B3:I4,2))), " ")</f>
        <v xml:space="preserve"> </v>
      </c>
      <c r="F10" s="35"/>
      <c r="G10" s="35"/>
      <c r="H10" s="35"/>
      <c r="I10" s="35"/>
      <c r="J10" s="35"/>
      <c r="K10" s="10"/>
    </row>
    <row r="11" spans="1:11" ht="18.75" thickBot="1" x14ac:dyDescent="0.4">
      <c r="A11" s="70"/>
      <c r="B11" s="35"/>
      <c r="C11" s="80" t="s">
        <v>54</v>
      </c>
      <c r="D11" s="120"/>
      <c r="E11" s="78" t="str">
        <f>IFERROR(VLOOKUP(D11,Benchmarks!A5:I68,(HLOOKUP(G6,Benchmarks!B3:I4,2))), " ")</f>
        <v xml:space="preserve"> </v>
      </c>
      <c r="F11" s="35"/>
      <c r="G11" s="35"/>
      <c r="H11" s="35"/>
      <c r="I11" s="35"/>
      <c r="J11" s="35"/>
      <c r="K11" s="10"/>
    </row>
    <row r="12" spans="1:11" ht="17.25" thickBot="1" x14ac:dyDescent="0.35">
      <c r="A12" s="70"/>
      <c r="B12" s="35"/>
      <c r="C12" s="81"/>
      <c r="D12" s="35"/>
      <c r="E12" s="18"/>
      <c r="F12" s="35"/>
      <c r="G12" s="35"/>
      <c r="H12" s="35"/>
      <c r="I12" s="35"/>
      <c r="J12" s="35"/>
      <c r="K12" s="10"/>
    </row>
    <row r="13" spans="1:11" ht="18.75" thickBot="1" x14ac:dyDescent="0.35">
      <c r="A13" s="70"/>
      <c r="B13" s="35"/>
      <c r="C13" s="241" t="s">
        <v>55</v>
      </c>
      <c r="D13" s="242"/>
      <c r="E13" s="82">
        <f>SUM(E4:E11)</f>
        <v>474.14</v>
      </c>
      <c r="F13" s="35"/>
      <c r="G13" s="35"/>
      <c r="H13" s="35"/>
      <c r="I13" s="35"/>
      <c r="J13" s="35"/>
      <c r="K13" s="10"/>
    </row>
    <row r="14" spans="1:11" ht="16.5" x14ac:dyDescent="0.3">
      <c r="A14" s="70"/>
      <c r="B14" s="35"/>
      <c r="C14" s="35"/>
      <c r="D14" s="35"/>
      <c r="E14" s="35"/>
      <c r="F14" s="35"/>
      <c r="G14" s="35"/>
      <c r="H14" s="35"/>
      <c r="I14" s="35"/>
      <c r="J14" s="35"/>
      <c r="K14" s="10"/>
    </row>
    <row r="15" spans="1:11" ht="66.75" customHeight="1" x14ac:dyDescent="0.35">
      <c r="A15" s="70"/>
      <c r="B15" s="231" t="s">
        <v>56</v>
      </c>
      <c r="C15" s="231"/>
      <c r="D15" s="231"/>
      <c r="E15" s="231"/>
      <c r="F15" s="231"/>
      <c r="G15" s="231"/>
      <c r="H15" s="231"/>
      <c r="I15" s="231"/>
      <c r="J15" s="231"/>
      <c r="K15" s="246"/>
    </row>
    <row r="16" spans="1:11" ht="16.5" x14ac:dyDescent="0.3">
      <c r="A16" s="70" t="s">
        <v>57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17.25" thickBot="1" x14ac:dyDescent="0.35">
      <c r="A17" s="70"/>
      <c r="B17" s="35"/>
      <c r="C17" s="35"/>
      <c r="D17" s="35"/>
      <c r="E17" s="35"/>
      <c r="F17" s="35"/>
      <c r="G17" s="35"/>
      <c r="H17" s="35"/>
      <c r="I17" s="35"/>
      <c r="J17" s="35"/>
      <c r="K17" s="10"/>
    </row>
    <row r="18" spans="1:11" ht="18" x14ac:dyDescent="0.3">
      <c r="A18" s="70"/>
      <c r="B18" s="35"/>
      <c r="C18" s="85" t="s">
        <v>10</v>
      </c>
      <c r="D18" s="121">
        <v>1</v>
      </c>
      <c r="E18" s="35"/>
      <c r="F18" s="35"/>
      <c r="G18" s="35"/>
      <c r="H18" s="35"/>
      <c r="I18" s="35"/>
      <c r="J18" s="35"/>
      <c r="K18" s="10"/>
    </row>
    <row r="19" spans="1:11" ht="18.75" thickBot="1" x14ac:dyDescent="0.35">
      <c r="A19" s="70"/>
      <c r="B19" s="35"/>
      <c r="C19" s="86" t="s">
        <v>58</v>
      </c>
      <c r="D19" s="122">
        <v>40000</v>
      </c>
      <c r="E19" s="35"/>
      <c r="F19" s="35"/>
      <c r="G19" s="35"/>
      <c r="H19" s="35"/>
      <c r="I19" s="35"/>
      <c r="J19" s="35"/>
      <c r="K19" s="10"/>
    </row>
    <row r="20" spans="1:11" ht="18.75" thickBot="1" x14ac:dyDescent="0.35">
      <c r="A20" s="70"/>
      <c r="B20" s="35"/>
      <c r="C20" s="87" t="s">
        <v>59</v>
      </c>
      <c r="D20" s="88">
        <f>(D19/(HLOOKUP(D18,FPL!C3:J4,2,)))</f>
        <v>3.2948929159802307</v>
      </c>
      <c r="E20" s="35"/>
      <c r="F20" s="35"/>
      <c r="G20" s="35"/>
      <c r="H20" s="35"/>
      <c r="I20" s="35"/>
      <c r="J20" s="35"/>
      <c r="K20" s="10"/>
    </row>
    <row r="21" spans="1:11" ht="16.5" x14ac:dyDescent="0.3">
      <c r="A21" s="70"/>
      <c r="B21" s="35"/>
      <c r="C21" s="35"/>
      <c r="D21" s="35"/>
      <c r="E21" s="35"/>
      <c r="F21" s="35"/>
      <c r="G21" s="35"/>
      <c r="H21" s="35"/>
      <c r="I21" s="35"/>
      <c r="J21" s="35"/>
      <c r="K21" s="10"/>
    </row>
    <row r="22" spans="1:11" ht="52.5" customHeight="1" thickBot="1" x14ac:dyDescent="0.35">
      <c r="A22" s="70"/>
      <c r="B22" s="247" t="s">
        <v>70</v>
      </c>
      <c r="C22" s="247"/>
      <c r="D22" s="247"/>
      <c r="E22" s="247"/>
      <c r="F22" s="247"/>
      <c r="G22" s="247"/>
      <c r="H22" s="247"/>
      <c r="I22" s="83"/>
      <c r="J22" s="83"/>
      <c r="K22" s="10"/>
    </row>
    <row r="23" spans="1:11" ht="31.5" customHeight="1" thickBot="1" x14ac:dyDescent="0.35">
      <c r="A23" s="70"/>
      <c r="B23" s="35"/>
      <c r="C23" s="35"/>
      <c r="D23" s="35"/>
      <c r="E23" s="35"/>
      <c r="F23" s="35"/>
      <c r="G23" s="89" t="s">
        <v>60</v>
      </c>
      <c r="H23" s="164" t="s">
        <v>61</v>
      </c>
      <c r="I23" s="172" t="s">
        <v>62</v>
      </c>
      <c r="J23" s="90" t="s">
        <v>62</v>
      </c>
      <c r="K23" s="10"/>
    </row>
    <row r="24" spans="1:11" ht="18" x14ac:dyDescent="0.35">
      <c r="A24" s="70"/>
      <c r="B24" s="35"/>
      <c r="C24" s="232" t="s">
        <v>63</v>
      </c>
      <c r="D24" s="233"/>
      <c r="E24" s="91">
        <f>ROUND(IF(D20&lt;=H24,I24/100, IF(D20&lt;=H25,(((D20-G25)/(H25-G25))*((J25-I25))+I25)/100, IF(D20&lt;=H26,((((D20-G26)/(H26-G26))*(J26-J25))+J25)/100, IF(D20&lt;=H27,((((D20-G27)/(H27-G27))*(J27-J26))+J26)/100, IF(D20&lt;=H28,((((D20-G28)/(H28-G28))*(J28-J27))+J27)/100, IF(D20&lt;=H30,J28/100, J28/100 )))))),4)</f>
        <v>9.8599999999999993E-2</v>
      </c>
      <c r="F24" s="35"/>
      <c r="G24" s="92">
        <v>0</v>
      </c>
      <c r="H24" s="165">
        <v>1.33</v>
      </c>
      <c r="I24" s="171">
        <v>2.08</v>
      </c>
      <c r="J24" s="93">
        <v>2.08</v>
      </c>
      <c r="K24" s="10"/>
    </row>
    <row r="25" spans="1:11" ht="18.75" thickBot="1" x14ac:dyDescent="0.4">
      <c r="A25" s="70"/>
      <c r="B25" s="35"/>
      <c r="C25" s="248" t="s">
        <v>58</v>
      </c>
      <c r="D25" s="249"/>
      <c r="E25" s="94">
        <f>D19</f>
        <v>40000</v>
      </c>
      <c r="F25" s="35"/>
      <c r="G25" s="95">
        <v>1.33</v>
      </c>
      <c r="H25" s="166">
        <v>1.5</v>
      </c>
      <c r="I25" s="169">
        <v>3.11</v>
      </c>
      <c r="J25" s="96">
        <v>4.1500000000000004</v>
      </c>
      <c r="K25" s="10"/>
    </row>
    <row r="26" spans="1:11" ht="18.75" thickBot="1" x14ac:dyDescent="0.4">
      <c r="A26" s="70"/>
      <c r="B26" s="35"/>
      <c r="C26" s="229" t="s">
        <v>64</v>
      </c>
      <c r="D26" s="230"/>
      <c r="E26" s="97">
        <f>IF(D20&gt;H30,E13*12,SUM(E25*E24))</f>
        <v>3943.9999999999995</v>
      </c>
      <c r="F26" s="35"/>
      <c r="G26" s="95">
        <v>1.5</v>
      </c>
      <c r="H26" s="166">
        <v>2</v>
      </c>
      <c r="I26" s="169">
        <v>4.1500000000000004</v>
      </c>
      <c r="J26" s="96">
        <v>6.54</v>
      </c>
      <c r="K26" s="10"/>
    </row>
    <row r="27" spans="1:11" ht="16.5" x14ac:dyDescent="0.3">
      <c r="A27" s="70"/>
      <c r="B27" s="35"/>
      <c r="C27" s="35"/>
      <c r="D27" s="35"/>
      <c r="E27" s="35"/>
      <c r="F27" s="35"/>
      <c r="G27" s="95">
        <v>2</v>
      </c>
      <c r="H27" s="166">
        <v>2.5</v>
      </c>
      <c r="I27" s="169">
        <v>6.54</v>
      </c>
      <c r="J27" s="96">
        <v>8.36</v>
      </c>
      <c r="K27" s="10"/>
    </row>
    <row r="28" spans="1:11" ht="16.5" x14ac:dyDescent="0.3">
      <c r="A28" s="70"/>
      <c r="B28" s="35"/>
      <c r="C28" s="35"/>
      <c r="D28" s="35"/>
      <c r="E28" s="35"/>
      <c r="F28" s="35"/>
      <c r="G28" s="95">
        <v>2.5</v>
      </c>
      <c r="H28" s="166">
        <v>3</v>
      </c>
      <c r="I28" s="169">
        <v>8.36</v>
      </c>
      <c r="J28" s="96">
        <v>9.86</v>
      </c>
      <c r="K28" s="10"/>
    </row>
    <row r="29" spans="1:11" ht="16.5" x14ac:dyDescent="0.3">
      <c r="A29" s="70"/>
      <c r="B29" s="35"/>
      <c r="C29" s="35"/>
      <c r="D29" s="35"/>
      <c r="E29" s="35"/>
      <c r="F29" s="35"/>
      <c r="G29" s="95">
        <v>3</v>
      </c>
      <c r="H29" s="166">
        <v>3.5</v>
      </c>
      <c r="I29" s="169">
        <v>9.86</v>
      </c>
      <c r="J29" s="96">
        <v>9.86</v>
      </c>
      <c r="K29" s="10"/>
    </row>
    <row r="30" spans="1:11" ht="17.25" thickBot="1" x14ac:dyDescent="0.35">
      <c r="A30" s="70"/>
      <c r="B30" s="35"/>
      <c r="C30" s="35"/>
      <c r="D30" s="35"/>
      <c r="E30" s="35"/>
      <c r="F30" s="35"/>
      <c r="G30" s="98">
        <v>3.5</v>
      </c>
      <c r="H30" s="167">
        <v>4</v>
      </c>
      <c r="I30" s="170">
        <v>9.86</v>
      </c>
      <c r="J30" s="99">
        <v>9.86</v>
      </c>
      <c r="K30" s="10"/>
    </row>
    <row r="31" spans="1:11" ht="16.5" x14ac:dyDescent="0.3">
      <c r="A31" s="70"/>
      <c r="B31" s="35"/>
      <c r="C31" s="35"/>
      <c r="D31" s="35"/>
      <c r="E31" s="35"/>
      <c r="F31" s="35"/>
      <c r="G31" s="100"/>
      <c r="H31" s="100"/>
      <c r="I31" s="101"/>
      <c r="J31" s="101"/>
      <c r="K31" s="10"/>
    </row>
    <row r="32" spans="1:11" ht="57" customHeight="1" x14ac:dyDescent="0.35">
      <c r="A32" s="70"/>
      <c r="B32" s="231" t="s">
        <v>65</v>
      </c>
      <c r="C32" s="231"/>
      <c r="D32" s="231"/>
      <c r="E32" s="231"/>
      <c r="F32" s="231"/>
      <c r="G32" s="231"/>
      <c r="H32" s="231"/>
      <c r="I32" s="231"/>
      <c r="J32" s="163"/>
      <c r="K32" s="102"/>
    </row>
    <row r="33" spans="1:11" ht="17.25" thickBot="1" x14ac:dyDescent="0.35">
      <c r="A33" s="70"/>
      <c r="B33" s="35"/>
      <c r="C33" s="35"/>
      <c r="D33" s="35"/>
      <c r="E33" s="35"/>
      <c r="F33" s="35"/>
      <c r="G33" s="35"/>
      <c r="H33" s="35"/>
      <c r="I33" s="35"/>
      <c r="J33" s="35"/>
      <c r="K33" s="10"/>
    </row>
    <row r="34" spans="1:11" ht="18" x14ac:dyDescent="0.35">
      <c r="A34" s="70"/>
      <c r="B34" s="35"/>
      <c r="C34" s="232" t="s">
        <v>66</v>
      </c>
      <c r="D34" s="233"/>
      <c r="E34" s="103">
        <f>SUM((E13)*12)</f>
        <v>5689.68</v>
      </c>
      <c r="F34" s="35"/>
      <c r="G34" s="35"/>
      <c r="H34" s="35"/>
      <c r="I34" s="35"/>
      <c r="J34" s="35"/>
      <c r="K34" s="10"/>
    </row>
    <row r="35" spans="1:11" ht="18.75" thickBot="1" x14ac:dyDescent="0.4">
      <c r="A35" s="70"/>
      <c r="B35" s="35"/>
      <c r="C35" s="248" t="s">
        <v>64</v>
      </c>
      <c r="D35" s="249"/>
      <c r="E35" s="94">
        <f>SUM(E26)</f>
        <v>3943.9999999999995</v>
      </c>
      <c r="F35" s="35"/>
      <c r="G35" s="35"/>
      <c r="H35" s="35"/>
      <c r="I35" s="35"/>
      <c r="J35" s="35"/>
      <c r="K35" s="10"/>
    </row>
    <row r="36" spans="1:11" ht="18.75" thickBot="1" x14ac:dyDescent="0.3">
      <c r="A36" s="72"/>
      <c r="B36" s="34"/>
      <c r="C36" s="250" t="s">
        <v>67</v>
      </c>
      <c r="D36" s="251"/>
      <c r="E36" s="104">
        <f>SUM(E34-E35)</f>
        <v>1745.6800000000007</v>
      </c>
      <c r="F36" s="34"/>
      <c r="G36" s="34"/>
      <c r="H36" s="34"/>
      <c r="I36" s="34"/>
      <c r="J36" s="34"/>
      <c r="K36" s="5"/>
    </row>
    <row r="37" spans="1:11" ht="16.5" x14ac:dyDescent="0.3">
      <c r="A37" s="70"/>
      <c r="B37" s="35"/>
      <c r="C37" s="35"/>
      <c r="D37" s="35"/>
      <c r="E37" s="35"/>
      <c r="F37" s="35"/>
      <c r="G37" s="35"/>
      <c r="H37" s="35"/>
      <c r="I37" s="35"/>
      <c r="J37" s="35"/>
      <c r="K37" s="10"/>
    </row>
    <row r="38" spans="1:11" ht="41.25" customHeight="1" x14ac:dyDescent="0.35">
      <c r="A38" s="70"/>
      <c r="B38" s="252" t="s">
        <v>68</v>
      </c>
      <c r="C38" s="252"/>
      <c r="D38" s="252"/>
      <c r="E38" s="252"/>
      <c r="F38" s="252"/>
      <c r="G38" s="35"/>
      <c r="H38" s="35"/>
      <c r="I38" s="35"/>
      <c r="J38" s="35"/>
      <c r="K38" s="10"/>
    </row>
    <row r="39" spans="1:11" ht="17.25" thickBot="1" x14ac:dyDescent="0.35">
      <c r="A39" s="70"/>
      <c r="B39" s="35"/>
      <c r="C39" s="35"/>
      <c r="D39" s="35"/>
      <c r="E39" s="35"/>
      <c r="F39" s="35"/>
      <c r="G39" s="35"/>
      <c r="H39" s="35"/>
      <c r="I39" s="35"/>
      <c r="J39" s="35"/>
      <c r="K39" s="10"/>
    </row>
    <row r="40" spans="1:11" ht="19.5" thickBot="1" x14ac:dyDescent="0.35">
      <c r="A40" s="70"/>
      <c r="B40" s="35"/>
      <c r="C40" s="253" t="s">
        <v>67</v>
      </c>
      <c r="D40" s="254"/>
      <c r="E40" s="105">
        <f>IF(D20&gt;H30, "0", SUM(E36))</f>
        <v>1745.6800000000007</v>
      </c>
      <c r="F40" s="35"/>
      <c r="G40" s="106"/>
      <c r="H40" s="35"/>
      <c r="I40" s="35"/>
      <c r="J40" s="35"/>
      <c r="K40" s="10"/>
    </row>
    <row r="41" spans="1:11" ht="21.75" thickBot="1" x14ac:dyDescent="0.35">
      <c r="A41" s="70"/>
      <c r="B41" s="35"/>
      <c r="C41" s="255" t="s">
        <v>69</v>
      </c>
      <c r="D41" s="256"/>
      <c r="E41" s="107">
        <f>IF(D20&gt;H30,"0",(IF(SUM(E40/12)&lt;0,"0",SUM(E40/12))))</f>
        <v>145.47333333333339</v>
      </c>
      <c r="F41" s="35"/>
      <c r="G41" s="35"/>
      <c r="H41" s="35"/>
      <c r="I41" s="35"/>
      <c r="J41" s="35"/>
      <c r="K41" s="10"/>
    </row>
    <row r="42" spans="1:11" ht="17.25" thickBot="1" x14ac:dyDescent="0.3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10"/>
    </row>
  </sheetData>
  <sheetProtection algorithmName="SHA-512" hashValue="Ii6bEfyYrxwBzDvvX0LgCOiXtpmPE58fJw/I4N8kapphx4CTSyOE2eeFUXMwVOaL8RcvsJGIvGawBWtmuPuQAQ==" saltValue="lx83eVC/Mss7YKJecim2uQ==" spinCount="100000" sheet="1" objects="1" scenarios="1"/>
  <protectedRanges>
    <protectedRange sqref="D18:D19" name="Range3_4"/>
    <protectedRange sqref="D4:D11" name="Range1_4"/>
    <protectedRange sqref="G6:J6" name="Range2_4"/>
  </protectedRanges>
  <mergeCells count="17">
    <mergeCell ref="C35:D35"/>
    <mergeCell ref="C36:D36"/>
    <mergeCell ref="B38:F38"/>
    <mergeCell ref="C40:D40"/>
    <mergeCell ref="C41:D41"/>
    <mergeCell ref="A1:K1"/>
    <mergeCell ref="B15:K15"/>
    <mergeCell ref="B22:H22"/>
    <mergeCell ref="C24:D24"/>
    <mergeCell ref="C25:D25"/>
    <mergeCell ref="C26:D26"/>
    <mergeCell ref="B32:I32"/>
    <mergeCell ref="C34:D34"/>
    <mergeCell ref="B2:I2"/>
    <mergeCell ref="G5:I5"/>
    <mergeCell ref="G6:I6"/>
    <mergeCell ref="C13:D13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'C:\Users\bajanal\Documents\[Copy of 2017 APTC Calc.xlsx]Benchmarks'!#REF!</xm:f>
          </x14:formula1>
          <xm:sqref>B3</xm:sqref>
        </x14:dataValidation>
        <x14:dataValidation type="list" allowBlank="1" showInputMessage="1" showErrorMessage="1">
          <x14:formula1>
            <xm:f>Benchmarks!$B$3:$I$3</xm:f>
          </x14:formula1>
          <xm:sqref>G6:J6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3"/>
  <sheetViews>
    <sheetView topLeftCell="A4" workbookViewId="0">
      <selection activeCell="E9" sqref="E9"/>
    </sheetView>
  </sheetViews>
  <sheetFormatPr defaultRowHeight="15" x14ac:dyDescent="0.25"/>
  <cols>
    <col min="1" max="1" width="26.85546875" customWidth="1"/>
    <col min="2" max="2" width="5.140625" customWidth="1"/>
    <col min="4" max="4" width="12.140625" customWidth="1"/>
    <col min="5" max="5" width="11.7109375" customWidth="1"/>
    <col min="6" max="6" width="12.140625" customWidth="1"/>
    <col min="7" max="7" width="11.85546875" customWidth="1"/>
    <col min="8" max="9" width="12" customWidth="1"/>
    <col min="10" max="10" width="12.140625" customWidth="1"/>
    <col min="11" max="11" width="13" customWidth="1"/>
  </cols>
  <sheetData>
    <row r="1" spans="1:13" x14ac:dyDescent="0.25">
      <c r="A1" s="181" t="s">
        <v>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3"/>
    </row>
    <row r="2" spans="1:13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30"/>
    </row>
    <row r="3" spans="1:13" ht="21.75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0"/>
    </row>
    <row r="4" spans="1:13" ht="19.5" thickBot="1" x14ac:dyDescent="0.4">
      <c r="A4" s="37"/>
      <c r="B4" s="37"/>
      <c r="C4" s="38"/>
      <c r="D4" s="183" t="s">
        <v>10</v>
      </c>
      <c r="E4" s="184"/>
      <c r="F4" s="184"/>
      <c r="G4" s="184"/>
      <c r="H4" s="184"/>
      <c r="I4" s="184"/>
      <c r="J4" s="184"/>
      <c r="K4" s="185"/>
      <c r="L4" s="186" t="s">
        <v>11</v>
      </c>
      <c r="M4" s="30"/>
    </row>
    <row r="5" spans="1:13" ht="17.25" thickBot="1" x14ac:dyDescent="0.4">
      <c r="A5" s="39"/>
      <c r="B5" s="39"/>
      <c r="C5" s="40"/>
      <c r="D5" s="41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  <c r="K5" s="43">
        <v>8</v>
      </c>
      <c r="L5" s="187"/>
      <c r="M5" s="30"/>
    </row>
    <row r="6" spans="1:13" ht="17.25" thickBot="1" x14ac:dyDescent="0.4">
      <c r="A6" s="123" t="s">
        <v>72</v>
      </c>
      <c r="B6" s="124" t="s">
        <v>71</v>
      </c>
      <c r="C6" s="125">
        <v>1</v>
      </c>
      <c r="D6" s="44">
        <v>12140</v>
      </c>
      <c r="E6" s="44">
        <v>16460</v>
      </c>
      <c r="F6" s="44">
        <v>20780</v>
      </c>
      <c r="G6" s="44">
        <v>25100</v>
      </c>
      <c r="H6" s="44">
        <v>29420</v>
      </c>
      <c r="I6" s="44">
        <v>33740</v>
      </c>
      <c r="J6" s="44">
        <v>38060</v>
      </c>
      <c r="K6" s="44">
        <v>42380</v>
      </c>
      <c r="L6" s="126">
        <v>4320</v>
      </c>
      <c r="M6" s="30"/>
    </row>
    <row r="7" spans="1:13" ht="17.25" hidden="1" thickBot="1" x14ac:dyDescent="0.4">
      <c r="A7" s="127" t="s">
        <v>76</v>
      </c>
      <c r="B7" s="128" t="s">
        <v>71</v>
      </c>
      <c r="C7" s="129">
        <v>1</v>
      </c>
      <c r="D7" s="130">
        <v>12140</v>
      </c>
      <c r="E7" s="130">
        <v>16460</v>
      </c>
      <c r="F7" s="130">
        <v>20780</v>
      </c>
      <c r="G7" s="130">
        <v>25100</v>
      </c>
      <c r="H7" s="130">
        <v>29420</v>
      </c>
      <c r="I7" s="130">
        <v>33740</v>
      </c>
      <c r="J7" s="130">
        <v>38060</v>
      </c>
      <c r="K7" s="131">
        <v>42380</v>
      </c>
      <c r="L7" s="132">
        <v>4320</v>
      </c>
      <c r="M7" s="30"/>
    </row>
    <row r="8" spans="1:13" ht="16.5" x14ac:dyDescent="0.35">
      <c r="A8" s="133" t="s">
        <v>12</v>
      </c>
      <c r="B8" s="134" t="s">
        <v>73</v>
      </c>
      <c r="C8" s="135">
        <v>1.38</v>
      </c>
      <c r="D8" s="136">
        <f ca="1">IF(TODAY()&lt;DATE(2018,3,1),SUM(D6*C8),SUM(D7*C8))</f>
        <v>16753.199999999997</v>
      </c>
      <c r="E8" s="136">
        <f ca="1">IF(TODAY()&lt;DATE(2018,3,1),SUM(E6*C8),SUM(E7*C8))</f>
        <v>22714.799999999999</v>
      </c>
      <c r="F8" s="136">
        <f ca="1">IF(TODAY()&lt;DATE(2018,3,1),SUM(F6*C8),SUM(F7*C8))</f>
        <v>28676.399999999998</v>
      </c>
      <c r="G8" s="136">
        <f ca="1">IF(TODAY()&lt;DATE(2018,3,1),SUM(G6*C8),SUM(G7*C8))</f>
        <v>34638</v>
      </c>
      <c r="H8" s="136">
        <f ca="1">IF(TODAY()&lt;DATE(2018,3,1),SUM(H6*C8),SUM(H7*C8))</f>
        <v>40599.599999999999</v>
      </c>
      <c r="I8" s="136">
        <f ca="1">IF(TODAY()&lt;DATE(2018,3,1),SUM(I6*C8),SUM(I7*C8))</f>
        <v>46561.2</v>
      </c>
      <c r="J8" s="136">
        <f ca="1">IF(TODAY()&lt;DATE(2018,3,1),SUM(J6*C8),SUM(J7*C8))</f>
        <v>52522.799999999996</v>
      </c>
      <c r="K8" s="136">
        <f ca="1">IF(TODAY()&lt;DATE(2018,3,1),SUM(K6*C8),SUM(K7*C8))</f>
        <v>58484.399999999994</v>
      </c>
      <c r="L8" s="45"/>
      <c r="M8" s="30"/>
    </row>
    <row r="9" spans="1:13" ht="16.5" x14ac:dyDescent="0.35">
      <c r="A9" s="137" t="s">
        <v>13</v>
      </c>
      <c r="B9" s="138" t="s">
        <v>73</v>
      </c>
      <c r="C9" s="139" t="s">
        <v>14</v>
      </c>
      <c r="D9" s="140">
        <f t="shared" ref="D9:K9" si="0">SUM(D6*1.5)</f>
        <v>18210</v>
      </c>
      <c r="E9" s="140">
        <f t="shared" si="0"/>
        <v>24690</v>
      </c>
      <c r="F9" s="140">
        <f t="shared" si="0"/>
        <v>31170</v>
      </c>
      <c r="G9" s="140">
        <f t="shared" si="0"/>
        <v>37650</v>
      </c>
      <c r="H9" s="140">
        <f t="shared" si="0"/>
        <v>44130</v>
      </c>
      <c r="I9" s="140">
        <f t="shared" si="0"/>
        <v>50610</v>
      </c>
      <c r="J9" s="140">
        <f t="shared" si="0"/>
        <v>57090</v>
      </c>
      <c r="K9" s="141">
        <f t="shared" si="0"/>
        <v>63570</v>
      </c>
      <c r="L9" s="45"/>
      <c r="M9" s="30"/>
    </row>
    <row r="10" spans="1:13" ht="16.5" x14ac:dyDescent="0.35">
      <c r="A10" s="142" t="s">
        <v>15</v>
      </c>
      <c r="B10" s="143" t="s">
        <v>73</v>
      </c>
      <c r="C10" s="144" t="s">
        <v>16</v>
      </c>
      <c r="D10" s="145">
        <f t="shared" ref="D10:K10" si="1">SUM(D6*2)</f>
        <v>24280</v>
      </c>
      <c r="E10" s="145">
        <f t="shared" si="1"/>
        <v>32920</v>
      </c>
      <c r="F10" s="145">
        <f t="shared" si="1"/>
        <v>41560</v>
      </c>
      <c r="G10" s="145">
        <f t="shared" si="1"/>
        <v>50200</v>
      </c>
      <c r="H10" s="145">
        <f t="shared" si="1"/>
        <v>58840</v>
      </c>
      <c r="I10" s="145">
        <f t="shared" si="1"/>
        <v>67480</v>
      </c>
      <c r="J10" s="145">
        <f t="shared" si="1"/>
        <v>76120</v>
      </c>
      <c r="K10" s="146">
        <f t="shared" si="1"/>
        <v>84760</v>
      </c>
      <c r="L10" s="45"/>
      <c r="M10" s="30"/>
    </row>
    <row r="11" spans="1:13" ht="16.5" x14ac:dyDescent="0.35">
      <c r="A11" s="147" t="s">
        <v>17</v>
      </c>
      <c r="B11" s="148" t="s">
        <v>73</v>
      </c>
      <c r="C11" s="149" t="s">
        <v>18</v>
      </c>
      <c r="D11" s="150">
        <f t="shared" ref="D11:K11" si="2">SUM(D6*2.5)</f>
        <v>30350</v>
      </c>
      <c r="E11" s="150">
        <f t="shared" si="2"/>
        <v>41150</v>
      </c>
      <c r="F11" s="150">
        <f t="shared" si="2"/>
        <v>51950</v>
      </c>
      <c r="G11" s="150">
        <f t="shared" si="2"/>
        <v>62750</v>
      </c>
      <c r="H11" s="150">
        <f t="shared" si="2"/>
        <v>73550</v>
      </c>
      <c r="I11" s="150">
        <f t="shared" si="2"/>
        <v>84350</v>
      </c>
      <c r="J11" s="150">
        <f t="shared" si="2"/>
        <v>95150</v>
      </c>
      <c r="K11" s="151">
        <f t="shared" si="2"/>
        <v>105950</v>
      </c>
      <c r="L11" s="45"/>
      <c r="M11" s="30"/>
    </row>
    <row r="12" spans="1:13" ht="16.5" x14ac:dyDescent="0.35">
      <c r="A12" s="133" t="s">
        <v>19</v>
      </c>
      <c r="B12" s="134" t="s">
        <v>73</v>
      </c>
      <c r="C12" s="135">
        <v>1.55</v>
      </c>
      <c r="D12" s="136">
        <f ca="1">IF(TODAY()&lt;DATE(2018,3,1),SUM(D6*C12),SUM(D7*C12))</f>
        <v>18817</v>
      </c>
      <c r="E12" s="136">
        <f ca="1">IF(TODAY()&lt;DATE(2018,3,1),SUM(E6*C12),SUM(E7*C12))</f>
        <v>25513</v>
      </c>
      <c r="F12" s="136">
        <f ca="1">IF(TODAY()&lt;DATE(2018,3,1),SUM(F6*C12),SUM(F7*C12))</f>
        <v>32209</v>
      </c>
      <c r="G12" s="136">
        <f ca="1">IF(TODAY()&lt;DATE(2018,3,1),SUM(G6*C12),SUM(G7*C12))</f>
        <v>38905</v>
      </c>
      <c r="H12" s="136">
        <f ca="1">IF(TODAY()&lt;DATE(2018,3,1),SUM(H6*C12),SUM(H7*C12))</f>
        <v>45601</v>
      </c>
      <c r="I12" s="136">
        <f ca="1">IF(TODAY()&lt;DATE(2018,3,1),SUM(I6*C12),SUM(I7*C12))</f>
        <v>52297</v>
      </c>
      <c r="J12" s="136">
        <f ca="1">IF(TODAY()&lt;DATE(2018,3,1),SUM(J6*C12),SUM(J7*C12))</f>
        <v>58993</v>
      </c>
      <c r="K12" s="136">
        <f ca="1">IF(TODAY()&lt;DATE(2018,3,1),SUM(K6*C12),SUM(K7*C12))</f>
        <v>65689</v>
      </c>
      <c r="L12" s="45"/>
      <c r="M12" s="30"/>
    </row>
    <row r="13" spans="1:13" ht="16.5" x14ac:dyDescent="0.35">
      <c r="A13" s="133" t="s">
        <v>20</v>
      </c>
      <c r="B13" s="134" t="s">
        <v>73</v>
      </c>
      <c r="C13" s="135">
        <v>2.0099999999999998</v>
      </c>
      <c r="D13" s="152">
        <f ca="1">IF(TODAY()&lt;DATE(2018,3,1),SUM(D6*C13),SUM(D7*C13))</f>
        <v>24401.399999999998</v>
      </c>
      <c r="E13" s="136">
        <f ca="1">IF(TODAY()&lt;DATE(2018,3,1),SUM(E6*C13),SUM(E7*C13))</f>
        <v>33084.6</v>
      </c>
      <c r="F13" s="136">
        <f ca="1">IF(TODAY()&lt;DATE(2018,3,1),SUM(F6*C13),SUM(F7*C13))</f>
        <v>41767.799999999996</v>
      </c>
      <c r="G13" s="136">
        <f ca="1">IF(TODAY()&lt;DATE(2018,3,1),SUM(G6*C13),SUM(G7*C13))</f>
        <v>50450.999999999993</v>
      </c>
      <c r="H13" s="136">
        <f ca="1">IF(TODAY()&lt;DATE(2018,3,1),SUM(H6*C13),SUM(H7*C13))</f>
        <v>59134.2</v>
      </c>
      <c r="I13" s="136">
        <f ca="1">IF(TODAY()&lt;DATE(2018,3,1),SUM(I6*C13),SUM(I7*C13))</f>
        <v>67817.399999999994</v>
      </c>
      <c r="J13" s="136">
        <f ca="1">IF(TODAY()&lt;DATE(2018,3,1),SUM(J6*C13),SUM(J7*C13))</f>
        <v>76500.599999999991</v>
      </c>
      <c r="K13" s="153">
        <f ca="1">IF(TODAY()&lt;DATE(2018,3,1),SUM(K6*C13),SUM(K7*C13))</f>
        <v>85183.799999999988</v>
      </c>
      <c r="L13" s="45"/>
      <c r="M13" s="30"/>
    </row>
    <row r="14" spans="1:13" ht="16.5" x14ac:dyDescent="0.35">
      <c r="A14" s="188" t="s">
        <v>21</v>
      </c>
      <c r="B14" s="154" t="s">
        <v>74</v>
      </c>
      <c r="C14" s="135">
        <v>2.0099999999999998</v>
      </c>
      <c r="D14" s="152">
        <f ca="1">IF(TODAY()&lt;DATE(2018,3,1),SUM(D6*C14),SUM(D7*C14))</f>
        <v>24401.399999999998</v>
      </c>
      <c r="E14" s="136">
        <f ca="1">IF(TODAY()&lt;DATE(2018,3,1),SUM(E6*C14),SUM(E7*C14))</f>
        <v>33084.6</v>
      </c>
      <c r="F14" s="136">
        <f ca="1">IF(TODAY()&lt;DATE(2018,3,1),SUM(F6*C14),SUM(F7*C14))</f>
        <v>41767.799999999996</v>
      </c>
      <c r="G14" s="136">
        <f ca="1">IF(TODAY()&lt;DATE(2018,3,1),SUM(G6*C14),SUM(G7*C14))</f>
        <v>50450.999999999993</v>
      </c>
      <c r="H14" s="136">
        <f ca="1">IF(TODAY()&lt;DATE(2018,3,1),SUM(H6*C14),SUM(H7*C14))</f>
        <v>59134.2</v>
      </c>
      <c r="I14" s="136">
        <f ca="1">IF(TODAY()&lt;DATE(2018,3,1),SUM(I6*C14),SUM(I7*C14))</f>
        <v>67817.399999999994</v>
      </c>
      <c r="J14" s="136">
        <f ca="1">IF(TODAY()&lt;DATE(2018,3,1),SUM(J6*C14),SUM(J7*C14))</f>
        <v>76500.599999999991</v>
      </c>
      <c r="K14" s="153">
        <f ca="1">IF(TODAY()&lt;DATE(2018,3,1),SUM(K6*C14),SUM(K7*C14))</f>
        <v>85183.799999999988</v>
      </c>
      <c r="L14" s="45"/>
      <c r="M14" s="30"/>
    </row>
    <row r="15" spans="1:13" ht="16.5" x14ac:dyDescent="0.35">
      <c r="A15" s="189"/>
      <c r="B15" s="155" t="s">
        <v>73</v>
      </c>
      <c r="C15" s="135">
        <v>2.54</v>
      </c>
      <c r="D15" s="152">
        <f ca="1">IF(TODAY()&lt;DATE(2018,3,1),SUM(D6*C15),SUM(D7*C15))</f>
        <v>30835.600000000002</v>
      </c>
      <c r="E15" s="136">
        <f ca="1">IF(TODAY()&lt;DATE(2018,3,1),SUM(E6*C15),SUM(E7*C15))</f>
        <v>41808.400000000001</v>
      </c>
      <c r="F15" s="136">
        <f ca="1">IF(TODAY()&lt;DATE(2018,3,1),SUM(F6*C15),SUM(F7*C15))</f>
        <v>52781.200000000004</v>
      </c>
      <c r="G15" s="136">
        <f ca="1">IF(TODAY()&lt;DATE(2018,3,1),SUM(G6*C15),SUM(G7*C15))</f>
        <v>63754</v>
      </c>
      <c r="H15" s="136">
        <f ca="1">IF(TODAY()&lt;DATE(2018,3,1),SUM(H6*C15),SUM(H7*C15))</f>
        <v>74726.8</v>
      </c>
      <c r="I15" s="136">
        <f ca="1">IF(TODAY()&lt;DATE(2018,3,1),SUM(I6*C15),SUM(I7*C15))</f>
        <v>85699.6</v>
      </c>
      <c r="J15" s="136">
        <f ca="1">IF(TODAY()&lt;DATE(2018,3,1),SUM(J6*C15),SUM(J7*C15))</f>
        <v>96672.4</v>
      </c>
      <c r="K15" s="153">
        <f ca="1">IF(TODAY()&lt;DATE(2018,3,1),SUM(K6*C15),SUM(K7*C15))</f>
        <v>107645.2</v>
      </c>
      <c r="L15" s="45"/>
      <c r="M15" s="30"/>
    </row>
    <row r="16" spans="1:13" x14ac:dyDescent="0.25">
      <c r="A16" s="188" t="s">
        <v>22</v>
      </c>
      <c r="B16" s="154" t="s">
        <v>74</v>
      </c>
      <c r="C16" s="156">
        <v>2.54</v>
      </c>
      <c r="D16" s="152">
        <f ca="1">IF(TODAY()&lt;DATE(2018,3,1),SUM(D6*C16),SUM(D7*C16))</f>
        <v>30835.600000000002</v>
      </c>
      <c r="E16" s="136">
        <f ca="1">IF(TODAY()&lt;DATE(2018,3,1),SUM(E6*C16),SUM(E7*C16))</f>
        <v>41808.400000000001</v>
      </c>
      <c r="F16" s="136">
        <f ca="1">IF(TODAY()&lt;DATE(2018,3,1),SUM(F6*C16),SUM(F7*C16))</f>
        <v>52781.200000000004</v>
      </c>
      <c r="G16" s="136">
        <f ca="1">IF(TODAY()&lt;DATE(2018,3,1),SUM(G6*C16),SUM(G7*C16))</f>
        <v>63754</v>
      </c>
      <c r="H16" s="136">
        <f ca="1">IF(TODAY()&lt;DATE(2018,3,1),SUM(H6*C16),SUM(H7*C16))</f>
        <v>74726.8</v>
      </c>
      <c r="I16" s="136">
        <f ca="1">IF(TODAY()&lt;DATE(2018,3,1),SUM(I6*C16),SUM(I7*C16))</f>
        <v>85699.6</v>
      </c>
      <c r="J16" s="136">
        <f ca="1">IF(TODAY()&lt;DATE(2018,3,1),SUM(J6*C16),SUM(J7*C16))</f>
        <v>96672.4</v>
      </c>
      <c r="K16" s="153">
        <f ca="1">IF(TODAY()&lt;DATE(2018,3,1),SUM(K6*C16),SUM(K7*C16))</f>
        <v>107645.2</v>
      </c>
      <c r="L16" s="46"/>
      <c r="M16" s="30"/>
    </row>
    <row r="17" spans="1:13" ht="16.5" x14ac:dyDescent="0.35">
      <c r="A17" s="189"/>
      <c r="B17" s="157" t="s">
        <v>73</v>
      </c>
      <c r="C17" s="158">
        <v>3.23</v>
      </c>
      <c r="D17" s="152">
        <f ca="1">IF(TODAY()&lt;DATE(2018,3,1),SUM(D6*C17),SUM(D7*C17))</f>
        <v>39212.199999999997</v>
      </c>
      <c r="E17" s="136">
        <f ca="1">IF(TODAY()&lt;DATE(2018,3,1),SUM(E6*C17),SUM(E7*C17))</f>
        <v>53165.8</v>
      </c>
      <c r="F17" s="136">
        <f ca="1">IF(TODAY()&lt;DATE(2018,3,1),SUM(F6*C17),SUM(F7*C17))</f>
        <v>67119.399999999994</v>
      </c>
      <c r="G17" s="136">
        <f ca="1">IF(TODAY()&lt;DATE(2018,3,1),SUM(G6*C17),SUM(G7*C17))</f>
        <v>81073</v>
      </c>
      <c r="H17" s="136">
        <f ca="1">IF(TODAY()&lt;DATE(2018,3,1),SUM(H6*C17),SUM(H7*C17))</f>
        <v>95026.6</v>
      </c>
      <c r="I17" s="136">
        <f ca="1">IF(TODAY()&lt;DATE(2018,3,1),SUM(I6*C17),SUM(I7*C17))</f>
        <v>108980.2</v>
      </c>
      <c r="J17" s="136">
        <f ca="1">IF(TODAY()&lt;DATE(2018,3,1),SUM(J6*C17),SUM(J7*C17))</f>
        <v>122933.8</v>
      </c>
      <c r="K17" s="153">
        <f ca="1">IF(TODAY()&lt;DATE(2018,3,1),SUM(K6*C17),SUM(K7*C17))</f>
        <v>136887.4</v>
      </c>
      <c r="L17" s="45"/>
      <c r="M17" s="30"/>
    </row>
    <row r="18" spans="1:13" ht="17.25" thickBot="1" x14ac:dyDescent="0.4">
      <c r="A18" s="159" t="s">
        <v>23</v>
      </c>
      <c r="B18" s="154" t="s">
        <v>73</v>
      </c>
      <c r="C18" s="158">
        <v>2.63</v>
      </c>
      <c r="D18" s="152">
        <f ca="1">IF(TODAY()&lt;DATE(2018,3,1),SUM(D6*C18),SUM(D7*C18))</f>
        <v>31928.199999999997</v>
      </c>
      <c r="E18" s="136">
        <f ca="1">IF(TODAY()&lt;DATE(2018,3,1),SUM(E6*C18),SUM(E7*C18))</f>
        <v>43289.799999999996</v>
      </c>
      <c r="F18" s="136">
        <f ca="1">IF(TODAY()&lt;DATE(2018,3,1),SUM(F6*C18),SUM(F7*C18))</f>
        <v>54651.399999999994</v>
      </c>
      <c r="G18" s="136">
        <f ca="1">IF(TODAY()&lt;DATE(2018,3,1),SUM(G6*C18),SUM(G7*C18))</f>
        <v>66013</v>
      </c>
      <c r="H18" s="136">
        <f ca="1">IF(TODAY()&lt;DATE(2018,3,1),SUM(H6*C18),SUM(H7*C18))</f>
        <v>77374.599999999991</v>
      </c>
      <c r="I18" s="136">
        <f ca="1">IF(TODAY()&lt;DATE(2018,3,1),SUM(I6*C18),SUM(I7*C18))</f>
        <v>88736.2</v>
      </c>
      <c r="J18" s="136">
        <f ca="1">IF(TODAY()&lt;DATE(2018,3,1),SUM(J6*C18),SUM(J7*C18))</f>
        <v>100097.8</v>
      </c>
      <c r="K18" s="153">
        <f ca="1">IF(TODAY()&lt;DATE(2018,3,1),SUM(K6*C18),SUM(K7*C18))</f>
        <v>111459.4</v>
      </c>
      <c r="L18" s="45"/>
      <c r="M18" s="30"/>
    </row>
    <row r="19" spans="1:13" ht="17.25" thickBot="1" x14ac:dyDescent="0.4">
      <c r="A19" s="123" t="s">
        <v>24</v>
      </c>
      <c r="B19" s="160" t="s">
        <v>73</v>
      </c>
      <c r="C19" s="125">
        <v>4</v>
      </c>
      <c r="D19" s="161">
        <f t="shared" ref="D19:K19" si="3">SUM(D6*4)</f>
        <v>48560</v>
      </c>
      <c r="E19" s="161">
        <f t="shared" si="3"/>
        <v>65840</v>
      </c>
      <c r="F19" s="161">
        <f t="shared" si="3"/>
        <v>83120</v>
      </c>
      <c r="G19" s="161">
        <f t="shared" si="3"/>
        <v>100400</v>
      </c>
      <c r="H19" s="161">
        <f t="shared" si="3"/>
        <v>117680</v>
      </c>
      <c r="I19" s="161">
        <f t="shared" si="3"/>
        <v>134960</v>
      </c>
      <c r="J19" s="161">
        <f t="shared" si="3"/>
        <v>152240</v>
      </c>
      <c r="K19" s="162">
        <f t="shared" si="3"/>
        <v>169520</v>
      </c>
      <c r="L19" s="45"/>
      <c r="M19" s="30"/>
    </row>
    <row r="20" spans="1:13" ht="16.5" x14ac:dyDescent="0.35">
      <c r="A20" s="47"/>
      <c r="B20" s="47"/>
      <c r="C20" s="47"/>
      <c r="D20" s="47" t="s">
        <v>75</v>
      </c>
      <c r="E20" s="47"/>
      <c r="F20" s="47"/>
      <c r="G20" s="47"/>
      <c r="H20" s="47"/>
      <c r="I20" s="47"/>
      <c r="J20" s="47"/>
      <c r="K20" s="47"/>
      <c r="L20" s="47"/>
      <c r="M20" s="30"/>
    </row>
    <row r="21" spans="1:1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1:13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15.75" thickBo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</sheetData>
  <sheetProtection algorithmName="SHA-512" hashValue="qiTUrBvGNKJgbwDOEuLOTJermAtut6o9pv5RPj78cSy6B4Tx3lz+Eul+RFyaGzy3SCXpTFmkqOXscOxh0j6MIg==" saltValue="KFn3njg91k4G8/sJz/5Tlw==" spinCount="100000" sheet="1" objects="1" scenarios="1"/>
  <mergeCells count="5">
    <mergeCell ref="A1:L2"/>
    <mergeCell ref="D4:K4"/>
    <mergeCell ref="L4:L5"/>
    <mergeCell ref="A14:A15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9"/>
  <sheetViews>
    <sheetView workbookViewId="0">
      <selection activeCell="B4" sqref="B4:H5"/>
    </sheetView>
  </sheetViews>
  <sheetFormatPr defaultRowHeight="15" x14ac:dyDescent="0.25"/>
  <sheetData>
    <row r="1" spans="1:1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x14ac:dyDescent="0.25">
      <c r="A2" s="6"/>
      <c r="B2" s="190" t="s">
        <v>25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30"/>
    </row>
    <row r="3" spans="1:16" ht="15.75" thickBot="1" x14ac:dyDescent="0.3">
      <c r="A3" s="6"/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  <c r="P3" s="30"/>
    </row>
    <row r="4" spans="1:16" x14ac:dyDescent="0.25">
      <c r="A4" s="6"/>
      <c r="B4" s="196" t="s">
        <v>26</v>
      </c>
      <c r="C4" s="197"/>
      <c r="D4" s="197"/>
      <c r="E4" s="197"/>
      <c r="F4" s="197"/>
      <c r="G4" s="197"/>
      <c r="H4" s="197"/>
      <c r="I4" s="200">
        <v>38147</v>
      </c>
      <c r="J4" s="200"/>
      <c r="K4" s="200"/>
      <c r="L4" s="200"/>
      <c r="M4" s="200"/>
      <c r="N4" s="200"/>
      <c r="O4" s="201"/>
      <c r="P4" s="30"/>
    </row>
    <row r="5" spans="1:16" x14ac:dyDescent="0.25">
      <c r="A5" s="6"/>
      <c r="B5" s="198"/>
      <c r="C5" s="199"/>
      <c r="D5" s="199"/>
      <c r="E5" s="199"/>
      <c r="F5" s="199"/>
      <c r="G5" s="199"/>
      <c r="H5" s="199"/>
      <c r="I5" s="202"/>
      <c r="J5" s="202"/>
      <c r="K5" s="202"/>
      <c r="L5" s="202"/>
      <c r="M5" s="202"/>
      <c r="N5" s="202"/>
      <c r="O5" s="203"/>
      <c r="P5" s="30"/>
    </row>
    <row r="6" spans="1:16" x14ac:dyDescent="0.25">
      <c r="A6" s="6"/>
      <c r="B6" s="204" t="s">
        <v>27</v>
      </c>
      <c r="C6" s="205"/>
      <c r="D6" s="205"/>
      <c r="E6" s="205"/>
      <c r="F6" s="205"/>
      <c r="G6" s="205"/>
      <c r="H6" s="206"/>
      <c r="I6" s="210" t="str">
        <f ca="1" xml:space="preserve"> DATEDIF(I4,TODAY(),"Y") &amp; " Years, " &amp; DATEDIF(I4,TODAY(),"YM") &amp; " Months, " &amp; DATEDIF(I4,TODAY(),"MD") &amp; " Days"</f>
        <v>14 Years, 3 Months, 16 Days</v>
      </c>
      <c r="J6" s="210"/>
      <c r="K6" s="210"/>
      <c r="L6" s="210"/>
      <c r="M6" s="210"/>
      <c r="N6" s="210"/>
      <c r="O6" s="211"/>
      <c r="P6" s="30"/>
    </row>
    <row r="7" spans="1:16" ht="15.75" thickBot="1" x14ac:dyDescent="0.3">
      <c r="A7" s="6"/>
      <c r="B7" s="207"/>
      <c r="C7" s="208"/>
      <c r="D7" s="208"/>
      <c r="E7" s="208"/>
      <c r="F7" s="208"/>
      <c r="G7" s="208"/>
      <c r="H7" s="209"/>
      <c r="I7" s="212"/>
      <c r="J7" s="212"/>
      <c r="K7" s="212"/>
      <c r="L7" s="212"/>
      <c r="M7" s="212"/>
      <c r="N7" s="212"/>
      <c r="O7" s="213"/>
      <c r="P7" s="30"/>
    </row>
    <row r="8" spans="1:16" x14ac:dyDescent="0.25">
      <c r="A8" s="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1:16" x14ac:dyDescent="0.25">
      <c r="A9" s="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15.75" thickBot="1" x14ac:dyDescent="0.3">
      <c r="A10" s="4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9"/>
    </row>
    <row r="11" spans="1:16" ht="15.75" thickBot="1" x14ac:dyDescent="0.3"/>
    <row r="12" spans="1:16" x14ac:dyDescent="0.25">
      <c r="B12" s="190" t="s">
        <v>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/>
    </row>
    <row r="13" spans="1:16" ht="15.75" thickBot="1" x14ac:dyDescent="0.3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</row>
    <row r="14" spans="1:16" x14ac:dyDescent="0.25">
      <c r="B14" s="196" t="s">
        <v>28</v>
      </c>
      <c r="C14" s="197"/>
      <c r="D14" s="197"/>
      <c r="E14" s="197"/>
      <c r="F14" s="197"/>
      <c r="G14" s="197"/>
      <c r="H14" s="197"/>
      <c r="I14" s="200">
        <v>38147</v>
      </c>
      <c r="J14" s="200"/>
      <c r="K14" s="200"/>
      <c r="L14" s="200"/>
      <c r="M14" s="200"/>
      <c r="N14" s="200"/>
      <c r="O14" s="201"/>
    </row>
    <row r="15" spans="1:16" x14ac:dyDescent="0.25">
      <c r="B15" s="198"/>
      <c r="C15" s="199"/>
      <c r="D15" s="199"/>
      <c r="E15" s="199"/>
      <c r="F15" s="199"/>
      <c r="G15" s="199"/>
      <c r="H15" s="199"/>
      <c r="I15" s="202"/>
      <c r="J15" s="202"/>
      <c r="K15" s="202"/>
      <c r="L15" s="202"/>
      <c r="M15" s="202"/>
      <c r="N15" s="202"/>
      <c r="O15" s="203"/>
    </row>
    <row r="16" spans="1:16" x14ac:dyDescent="0.25">
      <c r="B16" s="214" t="s">
        <v>29</v>
      </c>
      <c r="C16" s="215"/>
      <c r="D16" s="215"/>
      <c r="E16" s="215"/>
      <c r="F16" s="215"/>
      <c r="G16" s="215"/>
      <c r="H16" s="216"/>
      <c r="I16" s="220">
        <v>42370</v>
      </c>
      <c r="J16" s="221"/>
      <c r="K16" s="221"/>
      <c r="L16" s="221"/>
      <c r="M16" s="221"/>
      <c r="N16" s="221"/>
      <c r="O16" s="222"/>
    </row>
    <row r="17" spans="2:15" x14ac:dyDescent="0.25">
      <c r="B17" s="217"/>
      <c r="C17" s="218"/>
      <c r="D17" s="218"/>
      <c r="E17" s="218"/>
      <c r="F17" s="218"/>
      <c r="G17" s="218"/>
      <c r="H17" s="219"/>
      <c r="I17" s="223"/>
      <c r="J17" s="224"/>
      <c r="K17" s="224"/>
      <c r="L17" s="224"/>
      <c r="M17" s="224"/>
      <c r="N17" s="224"/>
      <c r="O17" s="225"/>
    </row>
    <row r="18" spans="2:15" x14ac:dyDescent="0.25">
      <c r="B18" s="204" t="s">
        <v>27</v>
      </c>
      <c r="C18" s="205"/>
      <c r="D18" s="205"/>
      <c r="E18" s="205"/>
      <c r="F18" s="205"/>
      <c r="G18" s="205"/>
      <c r="H18" s="206"/>
      <c r="I18" s="210" t="str">
        <f xml:space="preserve"> DATEDIF(I14,$I$16,"Y") &amp; " Years, " &amp; DATEDIF(I14,$I$16,"YM") &amp; " Months, " &amp; DATEDIF(I14,$I$16,"MD") &amp; " Days"</f>
        <v>11 Years, 6 Months, 23 Days</v>
      </c>
      <c r="J18" s="210"/>
      <c r="K18" s="210"/>
      <c r="L18" s="210"/>
      <c r="M18" s="210"/>
      <c r="N18" s="210"/>
      <c r="O18" s="211"/>
    </row>
    <row r="19" spans="2:15" ht="15.75" thickBot="1" x14ac:dyDescent="0.3">
      <c r="B19" s="207"/>
      <c r="C19" s="208"/>
      <c r="D19" s="208"/>
      <c r="E19" s="208"/>
      <c r="F19" s="208"/>
      <c r="G19" s="208"/>
      <c r="H19" s="209"/>
      <c r="I19" s="212"/>
      <c r="J19" s="212"/>
      <c r="K19" s="212"/>
      <c r="L19" s="212"/>
      <c r="M19" s="212"/>
      <c r="N19" s="212"/>
      <c r="O19" s="213"/>
    </row>
  </sheetData>
  <sheetProtection algorithmName="SHA-512" hashValue="e5wi2aTYNGowMPKWBQRK2mlw6fRSt13ic2iM2k9fB37EYMqEw4u/v//lcx+tCohXHNfkeW6ReQUyKXe47vipZg==" saltValue="H7PJe5bzDHoa1CMUEHMwCQ==" spinCount="100000" sheet="1" objects="1" scenarios="1"/>
  <mergeCells count="12">
    <mergeCell ref="B14:H15"/>
    <mergeCell ref="I14:O15"/>
    <mergeCell ref="B16:H17"/>
    <mergeCell ref="I16:O17"/>
    <mergeCell ref="B18:H19"/>
    <mergeCell ref="I18:O19"/>
    <mergeCell ref="B12:O13"/>
    <mergeCell ref="B2:O3"/>
    <mergeCell ref="B4:H5"/>
    <mergeCell ref="I4:O5"/>
    <mergeCell ref="B6:H7"/>
    <mergeCell ref="I6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8"/>
  <sheetViews>
    <sheetView workbookViewId="0">
      <pane xSplit="5" ySplit="4" topLeftCell="F11" activePane="bottomRight" state="frozen"/>
      <selection activeCell="B4" sqref="B4:H5"/>
      <selection pane="topRight" activeCell="B4" sqref="B4:H5"/>
      <selection pane="bottomLeft" activeCell="B4" sqref="B4:H5"/>
      <selection pane="bottomRight" activeCell="B4" sqref="B4:H5"/>
    </sheetView>
  </sheetViews>
  <sheetFormatPr defaultRowHeight="15" x14ac:dyDescent="0.25"/>
  <cols>
    <col min="2" max="2" width="18.42578125" customWidth="1"/>
    <col min="3" max="3" width="19.140625" customWidth="1"/>
    <col min="4" max="4" width="18.7109375" customWidth="1"/>
    <col min="5" max="5" width="20.85546875" customWidth="1"/>
    <col min="6" max="6" width="20.5703125" customWidth="1"/>
    <col min="7" max="7" width="19.7109375" customWidth="1"/>
    <col min="8" max="8" width="19.85546875" customWidth="1"/>
    <col min="9" max="9" width="19.7109375" customWidth="1"/>
  </cols>
  <sheetData>
    <row r="1" spans="1:9" ht="21.75" thickBot="1" x14ac:dyDescent="0.3">
      <c r="A1" s="50"/>
      <c r="B1" s="226" t="s">
        <v>30</v>
      </c>
      <c r="C1" s="227"/>
      <c r="D1" s="227"/>
      <c r="E1" s="227"/>
      <c r="F1" s="227"/>
      <c r="G1" s="227"/>
      <c r="H1" s="227"/>
      <c r="I1" s="228"/>
    </row>
    <row r="2" spans="1:9" ht="94.5" thickBot="1" x14ac:dyDescent="0.3">
      <c r="A2" s="51"/>
      <c r="B2" s="52" t="s">
        <v>31</v>
      </c>
      <c r="C2" s="53" t="s">
        <v>31</v>
      </c>
      <c r="D2" s="52" t="s">
        <v>31</v>
      </c>
      <c r="E2" s="54" t="s">
        <v>31</v>
      </c>
      <c r="F2" s="55" t="s">
        <v>31</v>
      </c>
      <c r="G2" s="56" t="s">
        <v>32</v>
      </c>
      <c r="H2" s="52" t="s">
        <v>33</v>
      </c>
      <c r="I2" s="56" t="s">
        <v>33</v>
      </c>
    </row>
    <row r="3" spans="1:9" ht="21.75" thickBot="1" x14ac:dyDescent="0.4">
      <c r="A3" s="57" t="s">
        <v>34</v>
      </c>
      <c r="B3" s="58" t="s">
        <v>35</v>
      </c>
      <c r="C3" s="59" t="s">
        <v>36</v>
      </c>
      <c r="D3" s="60" t="s">
        <v>37</v>
      </c>
      <c r="E3" s="59" t="s">
        <v>38</v>
      </c>
      <c r="F3" s="60" t="s">
        <v>39</v>
      </c>
      <c r="G3" s="59" t="s">
        <v>40</v>
      </c>
      <c r="H3" s="60" t="s">
        <v>41</v>
      </c>
      <c r="I3" s="59" t="s">
        <v>42</v>
      </c>
    </row>
    <row r="4" spans="1:9" ht="18.75" thickBot="1" x14ac:dyDescent="0.3">
      <c r="A4" s="61">
        <v>1</v>
      </c>
      <c r="B4" s="62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4">
        <v>9</v>
      </c>
    </row>
    <row r="5" spans="1:9" ht="18.75" thickBot="1" x14ac:dyDescent="0.4">
      <c r="A5" s="65">
        <v>1</v>
      </c>
      <c r="B5" s="66">
        <v>309.67</v>
      </c>
      <c r="C5" s="67">
        <v>253.89</v>
      </c>
      <c r="D5" s="66">
        <v>261.82</v>
      </c>
      <c r="E5" s="67">
        <v>275.97000000000003</v>
      </c>
      <c r="F5" s="66">
        <v>285.98</v>
      </c>
      <c r="G5" s="67">
        <v>271.52</v>
      </c>
      <c r="H5" s="66">
        <v>267.29000000000002</v>
      </c>
      <c r="I5" s="67">
        <v>267.29000000000002</v>
      </c>
    </row>
    <row r="6" spans="1:9" ht="18.75" thickBot="1" x14ac:dyDescent="0.4">
      <c r="A6" s="68">
        <v>2</v>
      </c>
      <c r="B6" s="66">
        <v>309.67</v>
      </c>
      <c r="C6" s="67">
        <v>253.89</v>
      </c>
      <c r="D6" s="66">
        <v>261.82</v>
      </c>
      <c r="E6" s="67">
        <v>275.97000000000003</v>
      </c>
      <c r="F6" s="66">
        <v>285.98</v>
      </c>
      <c r="G6" s="67">
        <v>271.52</v>
      </c>
      <c r="H6" s="66">
        <v>267.29000000000002</v>
      </c>
      <c r="I6" s="67">
        <v>267.29000000000002</v>
      </c>
    </row>
    <row r="7" spans="1:9" ht="18.75" thickBot="1" x14ac:dyDescent="0.4">
      <c r="A7" s="68">
        <v>3</v>
      </c>
      <c r="B7" s="66">
        <v>309.67</v>
      </c>
      <c r="C7" s="67">
        <v>253.89</v>
      </c>
      <c r="D7" s="66">
        <v>261.82</v>
      </c>
      <c r="E7" s="67">
        <v>275.97000000000003</v>
      </c>
      <c r="F7" s="66">
        <v>285.98</v>
      </c>
      <c r="G7" s="67">
        <v>271.52</v>
      </c>
      <c r="H7" s="66">
        <v>267.29000000000002</v>
      </c>
      <c r="I7" s="67">
        <v>267.29000000000002</v>
      </c>
    </row>
    <row r="8" spans="1:9" ht="18.75" thickBot="1" x14ac:dyDescent="0.4">
      <c r="A8" s="68">
        <v>4</v>
      </c>
      <c r="B8" s="66">
        <v>309.67</v>
      </c>
      <c r="C8" s="67">
        <v>253.89</v>
      </c>
      <c r="D8" s="66">
        <v>261.82</v>
      </c>
      <c r="E8" s="67">
        <v>275.97000000000003</v>
      </c>
      <c r="F8" s="66">
        <v>285.98</v>
      </c>
      <c r="G8" s="67">
        <v>271.52</v>
      </c>
      <c r="H8" s="66">
        <v>267.29000000000002</v>
      </c>
      <c r="I8" s="67">
        <v>267.29000000000002</v>
      </c>
    </row>
    <row r="9" spans="1:9" ht="18.75" thickBot="1" x14ac:dyDescent="0.4">
      <c r="A9" s="68">
        <v>5</v>
      </c>
      <c r="B9" s="66">
        <v>309.67</v>
      </c>
      <c r="C9" s="67">
        <v>253.89</v>
      </c>
      <c r="D9" s="66">
        <v>261.82</v>
      </c>
      <c r="E9" s="67">
        <v>275.97000000000003</v>
      </c>
      <c r="F9" s="66">
        <v>285.98</v>
      </c>
      <c r="G9" s="67">
        <v>271.52</v>
      </c>
      <c r="H9" s="66">
        <v>267.29000000000002</v>
      </c>
      <c r="I9" s="67">
        <v>267.29000000000002</v>
      </c>
    </row>
    <row r="10" spans="1:9" ht="18.75" thickBot="1" x14ac:dyDescent="0.4">
      <c r="A10" s="68">
        <v>6</v>
      </c>
      <c r="B10" s="66">
        <v>309.67</v>
      </c>
      <c r="C10" s="67">
        <v>253.89</v>
      </c>
      <c r="D10" s="66">
        <v>261.82</v>
      </c>
      <c r="E10" s="67">
        <v>275.97000000000003</v>
      </c>
      <c r="F10" s="66">
        <v>285.98</v>
      </c>
      <c r="G10" s="67">
        <v>271.52</v>
      </c>
      <c r="H10" s="66">
        <v>267.29000000000002</v>
      </c>
      <c r="I10" s="67">
        <v>267.29000000000002</v>
      </c>
    </row>
    <row r="11" spans="1:9" ht="18.75" thickBot="1" x14ac:dyDescent="0.4">
      <c r="A11" s="68">
        <v>7</v>
      </c>
      <c r="B11" s="66">
        <v>309.67</v>
      </c>
      <c r="C11" s="67">
        <v>253.89</v>
      </c>
      <c r="D11" s="66">
        <v>261.82</v>
      </c>
      <c r="E11" s="67">
        <v>275.97000000000003</v>
      </c>
      <c r="F11" s="66">
        <v>285.98</v>
      </c>
      <c r="G11" s="67">
        <v>271.52</v>
      </c>
      <c r="H11" s="66">
        <v>267.29000000000002</v>
      </c>
      <c r="I11" s="67">
        <v>267.29000000000002</v>
      </c>
    </row>
    <row r="12" spans="1:9" ht="18.75" thickBot="1" x14ac:dyDescent="0.4">
      <c r="A12" s="68">
        <v>8</v>
      </c>
      <c r="B12" s="66">
        <v>309.67</v>
      </c>
      <c r="C12" s="67">
        <v>253.89</v>
      </c>
      <c r="D12" s="66">
        <v>261.82</v>
      </c>
      <c r="E12" s="67">
        <v>275.97000000000003</v>
      </c>
      <c r="F12" s="66">
        <v>285.98</v>
      </c>
      <c r="G12" s="67">
        <v>271.52</v>
      </c>
      <c r="H12" s="66">
        <v>267.29000000000002</v>
      </c>
      <c r="I12" s="67">
        <v>267.29000000000002</v>
      </c>
    </row>
    <row r="13" spans="1:9" ht="18.75" thickBot="1" x14ac:dyDescent="0.4">
      <c r="A13" s="68">
        <v>9</v>
      </c>
      <c r="B13" s="66">
        <v>309.67</v>
      </c>
      <c r="C13" s="67">
        <v>253.89</v>
      </c>
      <c r="D13" s="66">
        <v>261.82</v>
      </c>
      <c r="E13" s="67">
        <v>275.97000000000003</v>
      </c>
      <c r="F13" s="66">
        <v>285.98</v>
      </c>
      <c r="G13" s="67">
        <v>271.52</v>
      </c>
      <c r="H13" s="66">
        <v>267.29000000000002</v>
      </c>
      <c r="I13" s="67">
        <v>267.29000000000002</v>
      </c>
    </row>
    <row r="14" spans="1:9" ht="18.75" thickBot="1" x14ac:dyDescent="0.4">
      <c r="A14" s="68">
        <v>10</v>
      </c>
      <c r="B14" s="66">
        <v>309.67</v>
      </c>
      <c r="C14" s="67">
        <v>253.89</v>
      </c>
      <c r="D14" s="66">
        <v>261.82</v>
      </c>
      <c r="E14" s="67">
        <v>275.97000000000003</v>
      </c>
      <c r="F14" s="66">
        <v>285.98</v>
      </c>
      <c r="G14" s="67">
        <v>271.52</v>
      </c>
      <c r="H14" s="66">
        <v>267.29000000000002</v>
      </c>
      <c r="I14" s="67">
        <v>267.29000000000002</v>
      </c>
    </row>
    <row r="15" spans="1:9" ht="18.75" thickBot="1" x14ac:dyDescent="0.4">
      <c r="A15" s="68">
        <v>11</v>
      </c>
      <c r="B15" s="66">
        <v>309.67</v>
      </c>
      <c r="C15" s="67">
        <v>253.89</v>
      </c>
      <c r="D15" s="66">
        <v>261.82</v>
      </c>
      <c r="E15" s="67">
        <v>275.97000000000003</v>
      </c>
      <c r="F15" s="66">
        <v>285.98</v>
      </c>
      <c r="G15" s="67">
        <v>271.52</v>
      </c>
      <c r="H15" s="66">
        <v>267.29000000000002</v>
      </c>
      <c r="I15" s="67">
        <v>267.29000000000002</v>
      </c>
    </row>
    <row r="16" spans="1:9" ht="18.75" thickBot="1" x14ac:dyDescent="0.4">
      <c r="A16" s="68">
        <v>12</v>
      </c>
      <c r="B16" s="66">
        <v>309.67</v>
      </c>
      <c r="C16" s="67">
        <v>253.89</v>
      </c>
      <c r="D16" s="66">
        <v>261.82</v>
      </c>
      <c r="E16" s="67">
        <v>275.97000000000003</v>
      </c>
      <c r="F16" s="66">
        <v>285.98</v>
      </c>
      <c r="G16" s="67">
        <v>271.52</v>
      </c>
      <c r="H16" s="66">
        <v>267.29000000000002</v>
      </c>
      <c r="I16" s="67">
        <v>267.29000000000002</v>
      </c>
    </row>
    <row r="17" spans="1:9" ht="18.75" thickBot="1" x14ac:dyDescent="0.4">
      <c r="A17" s="68">
        <v>13</v>
      </c>
      <c r="B17" s="66">
        <v>309.67</v>
      </c>
      <c r="C17" s="67">
        <v>253.89</v>
      </c>
      <c r="D17" s="66">
        <v>261.82</v>
      </c>
      <c r="E17" s="67">
        <v>275.97000000000003</v>
      </c>
      <c r="F17" s="66">
        <v>285.98</v>
      </c>
      <c r="G17" s="67">
        <v>271.52</v>
      </c>
      <c r="H17" s="66">
        <v>267.29000000000002</v>
      </c>
      <c r="I17" s="67">
        <v>267.29000000000002</v>
      </c>
    </row>
    <row r="18" spans="1:9" ht="18.75" thickBot="1" x14ac:dyDescent="0.4">
      <c r="A18" s="68">
        <v>14</v>
      </c>
      <c r="B18" s="66">
        <v>309.67</v>
      </c>
      <c r="C18" s="67">
        <v>253.89</v>
      </c>
      <c r="D18" s="66">
        <v>261.82</v>
      </c>
      <c r="E18" s="67">
        <v>275.97000000000003</v>
      </c>
      <c r="F18" s="66">
        <v>285.98</v>
      </c>
      <c r="G18" s="67">
        <v>271.52</v>
      </c>
      <c r="H18" s="66">
        <v>267.29000000000002</v>
      </c>
      <c r="I18" s="67">
        <v>267.29000000000002</v>
      </c>
    </row>
    <row r="19" spans="1:9" ht="18.75" thickBot="1" x14ac:dyDescent="0.4">
      <c r="A19" s="68">
        <v>15</v>
      </c>
      <c r="B19" s="66">
        <v>337.2</v>
      </c>
      <c r="C19" s="67">
        <v>276.45999999999998</v>
      </c>
      <c r="D19" s="66">
        <v>285.08999999999997</v>
      </c>
      <c r="E19" s="67">
        <v>300.5</v>
      </c>
      <c r="F19" s="66">
        <v>311.39999999999998</v>
      </c>
      <c r="G19" s="67">
        <v>295.64999999999998</v>
      </c>
      <c r="H19" s="66">
        <v>291.05</v>
      </c>
      <c r="I19" s="67">
        <v>291.05</v>
      </c>
    </row>
    <row r="20" spans="1:9" ht="18.75" thickBot="1" x14ac:dyDescent="0.4">
      <c r="A20" s="68">
        <v>16</v>
      </c>
      <c r="B20" s="66">
        <v>347.72</v>
      </c>
      <c r="C20" s="67">
        <v>285.10000000000002</v>
      </c>
      <c r="D20" s="66">
        <v>293.99</v>
      </c>
      <c r="E20" s="67">
        <v>309.87</v>
      </c>
      <c r="F20" s="66">
        <v>321.11</v>
      </c>
      <c r="G20" s="67">
        <v>304.88</v>
      </c>
      <c r="H20" s="66">
        <v>300.13</v>
      </c>
      <c r="I20" s="67">
        <v>300.13</v>
      </c>
    </row>
    <row r="21" spans="1:9" ht="18.75" thickBot="1" x14ac:dyDescent="0.4">
      <c r="A21" s="68">
        <v>17</v>
      </c>
      <c r="B21" s="66">
        <v>358.24</v>
      </c>
      <c r="C21" s="67">
        <v>293.72000000000003</v>
      </c>
      <c r="D21" s="66">
        <v>302.88</v>
      </c>
      <c r="E21" s="67">
        <v>319.25</v>
      </c>
      <c r="F21" s="66">
        <v>330.84</v>
      </c>
      <c r="G21" s="67">
        <v>314.10000000000002</v>
      </c>
      <c r="H21" s="66">
        <v>309.22000000000003</v>
      </c>
      <c r="I21" s="67">
        <v>309.22000000000003</v>
      </c>
    </row>
    <row r="22" spans="1:9" ht="18.75" thickBot="1" x14ac:dyDescent="0.4">
      <c r="A22" s="68">
        <v>18</v>
      </c>
      <c r="B22" s="66">
        <v>369.58</v>
      </c>
      <c r="C22" s="67">
        <v>303.01</v>
      </c>
      <c r="D22" s="66">
        <v>312.47000000000003</v>
      </c>
      <c r="E22" s="67">
        <v>329.35</v>
      </c>
      <c r="F22" s="66">
        <v>341.31</v>
      </c>
      <c r="G22" s="67">
        <v>324.05</v>
      </c>
      <c r="H22" s="66">
        <v>319</v>
      </c>
      <c r="I22" s="67">
        <v>319</v>
      </c>
    </row>
    <row r="23" spans="1:9" ht="18.75" thickBot="1" x14ac:dyDescent="0.4">
      <c r="A23" s="68">
        <v>19</v>
      </c>
      <c r="B23" s="66">
        <v>380.92</v>
      </c>
      <c r="C23" s="67">
        <v>312.31</v>
      </c>
      <c r="D23" s="66">
        <v>322.05</v>
      </c>
      <c r="E23" s="67">
        <v>339.46</v>
      </c>
      <c r="F23" s="66">
        <v>351.77</v>
      </c>
      <c r="G23" s="67">
        <v>333.98</v>
      </c>
      <c r="H23" s="66">
        <v>328.78</v>
      </c>
      <c r="I23" s="67">
        <v>328.78</v>
      </c>
    </row>
    <row r="24" spans="1:9" ht="18.75" thickBot="1" x14ac:dyDescent="0.4">
      <c r="A24" s="68">
        <v>20</v>
      </c>
      <c r="B24" s="66">
        <v>392.65</v>
      </c>
      <c r="C24" s="67">
        <v>321.94</v>
      </c>
      <c r="D24" s="66">
        <v>331.97</v>
      </c>
      <c r="E24" s="67">
        <v>349.91</v>
      </c>
      <c r="F24" s="66">
        <v>362.62</v>
      </c>
      <c r="G24" s="67">
        <v>344.28</v>
      </c>
      <c r="H24" s="66">
        <v>338.92</v>
      </c>
      <c r="I24" s="67">
        <v>338.92</v>
      </c>
    </row>
    <row r="25" spans="1:9" ht="18.75" thickBot="1" x14ac:dyDescent="0.4">
      <c r="A25" s="69">
        <v>21</v>
      </c>
      <c r="B25" s="66">
        <v>404.8</v>
      </c>
      <c r="C25" s="67">
        <v>331.89</v>
      </c>
      <c r="D25" s="66">
        <v>342.24</v>
      </c>
      <c r="E25" s="67">
        <v>360.74</v>
      </c>
      <c r="F25" s="66">
        <v>373.83</v>
      </c>
      <c r="G25" s="67">
        <v>354.92</v>
      </c>
      <c r="H25" s="66">
        <v>349.4</v>
      </c>
      <c r="I25" s="67">
        <v>349.4</v>
      </c>
    </row>
    <row r="26" spans="1:9" ht="18.75" thickBot="1" x14ac:dyDescent="0.4">
      <c r="A26" s="69">
        <v>22</v>
      </c>
      <c r="B26" s="66">
        <v>404.8</v>
      </c>
      <c r="C26" s="67">
        <v>331.89</v>
      </c>
      <c r="D26" s="66">
        <v>342.24</v>
      </c>
      <c r="E26" s="67">
        <v>360.74</v>
      </c>
      <c r="F26" s="66">
        <v>373.83</v>
      </c>
      <c r="G26" s="67">
        <v>354.92</v>
      </c>
      <c r="H26" s="66">
        <v>349.4</v>
      </c>
      <c r="I26" s="67">
        <v>349.4</v>
      </c>
    </row>
    <row r="27" spans="1:9" ht="18.75" thickBot="1" x14ac:dyDescent="0.4">
      <c r="A27" s="69">
        <v>23</v>
      </c>
      <c r="B27" s="66">
        <v>404.8</v>
      </c>
      <c r="C27" s="67">
        <v>331.89</v>
      </c>
      <c r="D27" s="66">
        <v>342.24</v>
      </c>
      <c r="E27" s="67">
        <v>360.74</v>
      </c>
      <c r="F27" s="66">
        <v>373.83</v>
      </c>
      <c r="G27" s="67">
        <v>354.92</v>
      </c>
      <c r="H27" s="66">
        <v>349.4</v>
      </c>
      <c r="I27" s="67">
        <v>349.4</v>
      </c>
    </row>
    <row r="28" spans="1:9" ht="18.75" thickBot="1" x14ac:dyDescent="0.4">
      <c r="A28" s="69">
        <v>24</v>
      </c>
      <c r="B28" s="66">
        <v>404.8</v>
      </c>
      <c r="C28" s="67">
        <v>331.89</v>
      </c>
      <c r="D28" s="66">
        <v>342.24</v>
      </c>
      <c r="E28" s="67">
        <v>360.74</v>
      </c>
      <c r="F28" s="66">
        <v>373.83</v>
      </c>
      <c r="G28" s="67">
        <v>354.92</v>
      </c>
      <c r="H28" s="66">
        <v>349.4</v>
      </c>
      <c r="I28" s="67">
        <v>349.4</v>
      </c>
    </row>
    <row r="29" spans="1:9" ht="18.75" thickBot="1" x14ac:dyDescent="0.4">
      <c r="A29" s="69">
        <v>25</v>
      </c>
      <c r="B29" s="66">
        <v>406.42</v>
      </c>
      <c r="C29" s="67">
        <v>333.22</v>
      </c>
      <c r="D29" s="66">
        <v>343.61</v>
      </c>
      <c r="E29" s="67">
        <v>362.18</v>
      </c>
      <c r="F29" s="66">
        <v>375.32</v>
      </c>
      <c r="G29" s="67">
        <v>356.34</v>
      </c>
      <c r="H29" s="66">
        <v>350.79</v>
      </c>
      <c r="I29" s="67">
        <v>350.79</v>
      </c>
    </row>
    <row r="30" spans="1:9" ht="18.75" thickBot="1" x14ac:dyDescent="0.4">
      <c r="A30" s="69">
        <v>26</v>
      </c>
      <c r="B30" s="66">
        <v>414.51</v>
      </c>
      <c r="C30" s="67">
        <v>339.85</v>
      </c>
      <c r="D30" s="66">
        <v>350.45</v>
      </c>
      <c r="E30" s="67">
        <v>369.39</v>
      </c>
      <c r="F30" s="66">
        <v>382.8</v>
      </c>
      <c r="G30" s="67">
        <v>363.44</v>
      </c>
      <c r="H30" s="66">
        <v>357.79</v>
      </c>
      <c r="I30" s="67">
        <v>357.79</v>
      </c>
    </row>
    <row r="31" spans="1:9" ht="18.75" thickBot="1" x14ac:dyDescent="0.4">
      <c r="A31" s="69">
        <v>27</v>
      </c>
      <c r="B31" s="66">
        <v>424.23</v>
      </c>
      <c r="C31" s="67">
        <v>347.82</v>
      </c>
      <c r="D31" s="66">
        <v>358.66</v>
      </c>
      <c r="E31" s="67">
        <v>378.05</v>
      </c>
      <c r="F31" s="66">
        <v>391.77</v>
      </c>
      <c r="G31" s="67">
        <v>371.96</v>
      </c>
      <c r="H31" s="66">
        <v>366.17</v>
      </c>
      <c r="I31" s="67">
        <v>366.17</v>
      </c>
    </row>
    <row r="32" spans="1:9" ht="18.75" thickBot="1" x14ac:dyDescent="0.4">
      <c r="A32" s="69">
        <v>28</v>
      </c>
      <c r="B32" s="66">
        <v>440.02</v>
      </c>
      <c r="C32" s="67">
        <v>360.77</v>
      </c>
      <c r="D32" s="66">
        <v>372.01</v>
      </c>
      <c r="E32" s="67">
        <v>392.12</v>
      </c>
      <c r="F32" s="66">
        <v>406.35</v>
      </c>
      <c r="G32" s="67">
        <v>385.8</v>
      </c>
      <c r="H32" s="66">
        <v>379.8</v>
      </c>
      <c r="I32" s="67">
        <v>379.8</v>
      </c>
    </row>
    <row r="33" spans="1:9" ht="18.75" thickBot="1" x14ac:dyDescent="0.4">
      <c r="A33" s="69">
        <v>29</v>
      </c>
      <c r="B33" s="66">
        <v>452.97</v>
      </c>
      <c r="C33" s="67">
        <v>371.38</v>
      </c>
      <c r="D33" s="66">
        <v>382.97</v>
      </c>
      <c r="E33" s="67">
        <v>403.67</v>
      </c>
      <c r="F33" s="66">
        <v>418.31</v>
      </c>
      <c r="G33" s="67">
        <v>397.16</v>
      </c>
      <c r="H33" s="66">
        <v>390.98</v>
      </c>
      <c r="I33" s="67">
        <v>390.98</v>
      </c>
    </row>
    <row r="34" spans="1:9" ht="18.75" thickBot="1" x14ac:dyDescent="0.4">
      <c r="A34" s="69">
        <v>30</v>
      </c>
      <c r="B34" s="66">
        <v>459.44</v>
      </c>
      <c r="C34" s="67">
        <v>376.69</v>
      </c>
      <c r="D34" s="66">
        <v>388.44</v>
      </c>
      <c r="E34" s="67">
        <v>409.44</v>
      </c>
      <c r="F34" s="66">
        <v>424.29</v>
      </c>
      <c r="G34" s="67">
        <v>402.83</v>
      </c>
      <c r="H34" s="66">
        <v>396.57</v>
      </c>
      <c r="I34" s="67">
        <v>396.57</v>
      </c>
    </row>
    <row r="35" spans="1:9" ht="18.75" thickBot="1" x14ac:dyDescent="0.4">
      <c r="A35" s="69">
        <v>31</v>
      </c>
      <c r="B35" s="66">
        <v>469.16</v>
      </c>
      <c r="C35" s="67">
        <v>384.66</v>
      </c>
      <c r="D35" s="66">
        <v>396.66</v>
      </c>
      <c r="E35" s="67">
        <v>418.09</v>
      </c>
      <c r="F35" s="66">
        <v>433.27</v>
      </c>
      <c r="G35" s="67">
        <v>411.36</v>
      </c>
      <c r="H35" s="66">
        <v>404.95</v>
      </c>
      <c r="I35" s="67">
        <v>404.95</v>
      </c>
    </row>
    <row r="36" spans="1:9" ht="18.75" thickBot="1" x14ac:dyDescent="0.4">
      <c r="A36" s="69">
        <v>32</v>
      </c>
      <c r="B36" s="66">
        <v>478.88</v>
      </c>
      <c r="C36" s="67">
        <v>392.62</v>
      </c>
      <c r="D36" s="66">
        <v>404.87</v>
      </c>
      <c r="E36" s="67">
        <v>426.75</v>
      </c>
      <c r="F36" s="66">
        <v>442.24</v>
      </c>
      <c r="G36" s="67">
        <v>419.88</v>
      </c>
      <c r="H36" s="66">
        <v>413.34</v>
      </c>
      <c r="I36" s="67">
        <v>413.34</v>
      </c>
    </row>
    <row r="37" spans="1:9" ht="18.75" thickBot="1" x14ac:dyDescent="0.4">
      <c r="A37" s="69">
        <v>33</v>
      </c>
      <c r="B37" s="66">
        <v>484.95</v>
      </c>
      <c r="C37" s="67">
        <v>397.61</v>
      </c>
      <c r="D37" s="66">
        <v>410.01</v>
      </c>
      <c r="E37" s="67">
        <v>432.17</v>
      </c>
      <c r="F37" s="66">
        <v>447.84</v>
      </c>
      <c r="G37" s="67">
        <v>425.2</v>
      </c>
      <c r="H37" s="66">
        <v>418.58</v>
      </c>
      <c r="I37" s="67">
        <v>418.58</v>
      </c>
    </row>
    <row r="38" spans="1:9" ht="18.75" thickBot="1" x14ac:dyDescent="0.4">
      <c r="A38" s="69">
        <v>34</v>
      </c>
      <c r="B38" s="66">
        <v>491.42</v>
      </c>
      <c r="C38" s="67">
        <v>402.91</v>
      </c>
      <c r="D38" s="66">
        <v>415.47</v>
      </c>
      <c r="E38" s="67">
        <v>437.93</v>
      </c>
      <c r="F38" s="66">
        <v>453.82</v>
      </c>
      <c r="G38" s="67">
        <v>430.88</v>
      </c>
      <c r="H38" s="66">
        <v>424.17</v>
      </c>
      <c r="I38" s="67">
        <v>424.17</v>
      </c>
    </row>
    <row r="39" spans="1:9" ht="18.75" thickBot="1" x14ac:dyDescent="0.4">
      <c r="A39" s="69">
        <v>35</v>
      </c>
      <c r="B39" s="66">
        <v>494.66</v>
      </c>
      <c r="C39" s="67">
        <v>405.57</v>
      </c>
      <c r="D39" s="66">
        <v>418.22</v>
      </c>
      <c r="E39" s="67">
        <v>440.82</v>
      </c>
      <c r="F39" s="66">
        <v>456.82</v>
      </c>
      <c r="G39" s="67">
        <v>433.71</v>
      </c>
      <c r="H39" s="66">
        <v>426.97</v>
      </c>
      <c r="I39" s="67">
        <v>426.97</v>
      </c>
    </row>
    <row r="40" spans="1:9" ht="18.75" thickBot="1" x14ac:dyDescent="0.4">
      <c r="A40" s="69">
        <v>36</v>
      </c>
      <c r="B40" s="66">
        <v>497.9</v>
      </c>
      <c r="C40" s="67">
        <v>408.22</v>
      </c>
      <c r="D40" s="66">
        <v>420.95</v>
      </c>
      <c r="E40" s="67">
        <v>443.7</v>
      </c>
      <c r="F40" s="66">
        <v>459.81</v>
      </c>
      <c r="G40" s="67">
        <v>436.55</v>
      </c>
      <c r="H40" s="66">
        <v>429.76</v>
      </c>
      <c r="I40" s="67">
        <v>429.76</v>
      </c>
    </row>
    <row r="41" spans="1:9" ht="18.75" thickBot="1" x14ac:dyDescent="0.4">
      <c r="A41" s="69">
        <v>37</v>
      </c>
      <c r="B41" s="66">
        <v>501.14</v>
      </c>
      <c r="C41" s="67">
        <v>410.88</v>
      </c>
      <c r="D41" s="66">
        <v>423.7</v>
      </c>
      <c r="E41" s="67">
        <v>446.6</v>
      </c>
      <c r="F41" s="66">
        <v>462.8</v>
      </c>
      <c r="G41" s="67">
        <v>439.4</v>
      </c>
      <c r="H41" s="66">
        <v>432.55</v>
      </c>
      <c r="I41" s="67">
        <v>432.55</v>
      </c>
    </row>
    <row r="42" spans="1:9" ht="18.75" thickBot="1" x14ac:dyDescent="0.4">
      <c r="A42" s="69">
        <v>38</v>
      </c>
      <c r="B42" s="66">
        <v>504.38</v>
      </c>
      <c r="C42" s="67">
        <v>413.53</v>
      </c>
      <c r="D42" s="66">
        <v>426.43</v>
      </c>
      <c r="E42" s="67">
        <v>449.48</v>
      </c>
      <c r="F42" s="66">
        <v>465.79</v>
      </c>
      <c r="G42" s="67">
        <v>442.24</v>
      </c>
      <c r="H42" s="66">
        <v>435.35</v>
      </c>
      <c r="I42" s="67">
        <v>435.35</v>
      </c>
    </row>
    <row r="43" spans="1:9" ht="18.75" thickBot="1" x14ac:dyDescent="0.4">
      <c r="A43" s="69">
        <v>39</v>
      </c>
      <c r="B43" s="66">
        <v>510.86</v>
      </c>
      <c r="C43" s="67">
        <v>418.85</v>
      </c>
      <c r="D43" s="66">
        <v>431.91</v>
      </c>
      <c r="E43" s="67">
        <v>455.25</v>
      </c>
      <c r="F43" s="66">
        <v>471.77</v>
      </c>
      <c r="G43" s="67">
        <v>447.91</v>
      </c>
      <c r="H43" s="66">
        <v>440.94</v>
      </c>
      <c r="I43" s="67">
        <v>440.94</v>
      </c>
    </row>
    <row r="44" spans="1:9" ht="18.75" thickBot="1" x14ac:dyDescent="0.4">
      <c r="A44" s="69">
        <v>40</v>
      </c>
      <c r="B44" s="66">
        <v>517.33000000000004</v>
      </c>
      <c r="C44" s="67">
        <v>424.16</v>
      </c>
      <c r="D44" s="66">
        <v>437.38</v>
      </c>
      <c r="E44" s="67">
        <v>461.02</v>
      </c>
      <c r="F44" s="66">
        <v>477.75</v>
      </c>
      <c r="G44" s="67">
        <v>453.6</v>
      </c>
      <c r="H44" s="66">
        <v>446.53</v>
      </c>
      <c r="I44" s="67">
        <v>446.53</v>
      </c>
    </row>
    <row r="45" spans="1:9" ht="18.75" thickBot="1" x14ac:dyDescent="0.4">
      <c r="A45" s="69">
        <v>41</v>
      </c>
      <c r="B45" s="66">
        <v>527.04</v>
      </c>
      <c r="C45" s="67">
        <v>432.12</v>
      </c>
      <c r="D45" s="66">
        <v>445.6</v>
      </c>
      <c r="E45" s="67">
        <v>469.68</v>
      </c>
      <c r="F45" s="66">
        <v>486.72</v>
      </c>
      <c r="G45" s="67">
        <v>462.11</v>
      </c>
      <c r="H45" s="66">
        <v>454.91</v>
      </c>
      <c r="I45" s="67">
        <v>454.91</v>
      </c>
    </row>
    <row r="46" spans="1:9" ht="18.75" thickBot="1" x14ac:dyDescent="0.4">
      <c r="A46" s="69">
        <v>42</v>
      </c>
      <c r="B46" s="66">
        <v>536.36</v>
      </c>
      <c r="C46" s="67">
        <v>439.75</v>
      </c>
      <c r="D46" s="66">
        <v>453.47</v>
      </c>
      <c r="E46" s="67">
        <v>477.98</v>
      </c>
      <c r="F46" s="66">
        <v>495.32</v>
      </c>
      <c r="G46" s="67">
        <v>470.27</v>
      </c>
      <c r="H46" s="66">
        <v>462.96</v>
      </c>
      <c r="I46" s="67">
        <v>462.96</v>
      </c>
    </row>
    <row r="47" spans="1:9" ht="18.75" thickBot="1" x14ac:dyDescent="0.4">
      <c r="A47" s="69">
        <v>43</v>
      </c>
      <c r="B47" s="66">
        <v>549.30999999999995</v>
      </c>
      <c r="C47" s="67">
        <v>450.37</v>
      </c>
      <c r="D47" s="66">
        <v>464.41</v>
      </c>
      <c r="E47" s="67">
        <v>489.52</v>
      </c>
      <c r="F47" s="66">
        <v>507.28</v>
      </c>
      <c r="G47" s="67">
        <v>481.63</v>
      </c>
      <c r="H47" s="66">
        <v>474.14</v>
      </c>
      <c r="I47" s="67">
        <v>474.14</v>
      </c>
    </row>
    <row r="48" spans="1:9" ht="18.75" thickBot="1" x14ac:dyDescent="0.4">
      <c r="A48" s="69">
        <v>44</v>
      </c>
      <c r="B48" s="66">
        <v>565.5</v>
      </c>
      <c r="C48" s="67">
        <v>463.65</v>
      </c>
      <c r="D48" s="66">
        <v>478.11</v>
      </c>
      <c r="E48" s="67">
        <v>503.95</v>
      </c>
      <c r="F48" s="66">
        <v>522.23</v>
      </c>
      <c r="G48" s="67">
        <v>495.82</v>
      </c>
      <c r="H48" s="66">
        <v>488.11</v>
      </c>
      <c r="I48" s="67">
        <v>488.11</v>
      </c>
    </row>
    <row r="49" spans="1:9" ht="18.75" thickBot="1" x14ac:dyDescent="0.4">
      <c r="A49" s="69">
        <v>45</v>
      </c>
      <c r="B49" s="66">
        <v>584.53</v>
      </c>
      <c r="C49" s="67">
        <v>479.25</v>
      </c>
      <c r="D49" s="66">
        <v>494.2</v>
      </c>
      <c r="E49" s="67">
        <v>520.91</v>
      </c>
      <c r="F49" s="66">
        <v>539.80999999999995</v>
      </c>
      <c r="G49" s="67">
        <v>512.51</v>
      </c>
      <c r="H49" s="66">
        <v>504.53</v>
      </c>
      <c r="I49" s="67">
        <v>504.53</v>
      </c>
    </row>
    <row r="50" spans="1:9" ht="18.75" thickBot="1" x14ac:dyDescent="0.4">
      <c r="A50" s="69">
        <v>46</v>
      </c>
      <c r="B50" s="66">
        <v>607.20000000000005</v>
      </c>
      <c r="C50" s="67">
        <v>497.83</v>
      </c>
      <c r="D50" s="66">
        <v>513.36</v>
      </c>
      <c r="E50" s="67">
        <v>541.11</v>
      </c>
      <c r="F50" s="66">
        <v>560.75</v>
      </c>
      <c r="G50" s="67">
        <v>532.39</v>
      </c>
      <c r="H50" s="66">
        <v>524.1</v>
      </c>
      <c r="I50" s="67">
        <v>524.1</v>
      </c>
    </row>
    <row r="51" spans="1:9" ht="18.75" thickBot="1" x14ac:dyDescent="0.4">
      <c r="A51" s="69">
        <v>47</v>
      </c>
      <c r="B51" s="66">
        <v>632.69000000000005</v>
      </c>
      <c r="C51" s="67">
        <v>518.74</v>
      </c>
      <c r="D51" s="66">
        <v>534.91999999999996</v>
      </c>
      <c r="E51" s="67">
        <v>563.83000000000004</v>
      </c>
      <c r="F51" s="66">
        <v>584.29999999999995</v>
      </c>
      <c r="G51" s="67">
        <v>554.75</v>
      </c>
      <c r="H51" s="66">
        <v>546.11</v>
      </c>
      <c r="I51" s="67">
        <v>546.11</v>
      </c>
    </row>
    <row r="52" spans="1:9" ht="18.75" thickBot="1" x14ac:dyDescent="0.4">
      <c r="A52" s="69">
        <v>48</v>
      </c>
      <c r="B52" s="66">
        <v>661.84</v>
      </c>
      <c r="C52" s="67">
        <v>542.63</v>
      </c>
      <c r="D52" s="66">
        <v>559.55999999999995</v>
      </c>
      <c r="E52" s="67">
        <v>589.79999999999995</v>
      </c>
      <c r="F52" s="66">
        <v>611.21</v>
      </c>
      <c r="G52" s="67">
        <v>580.29999999999995</v>
      </c>
      <c r="H52" s="66">
        <v>571.26</v>
      </c>
      <c r="I52" s="67">
        <v>571.26</v>
      </c>
    </row>
    <row r="53" spans="1:9" ht="18.75" thickBot="1" x14ac:dyDescent="0.4">
      <c r="A53" s="69">
        <v>49</v>
      </c>
      <c r="B53" s="66">
        <v>690.58</v>
      </c>
      <c r="C53" s="67">
        <v>566.20000000000005</v>
      </c>
      <c r="D53" s="66">
        <v>583.85</v>
      </c>
      <c r="E53" s="67">
        <v>615.41</v>
      </c>
      <c r="F53" s="66">
        <v>637.75</v>
      </c>
      <c r="G53" s="67">
        <v>605.5</v>
      </c>
      <c r="H53" s="66">
        <v>596.07000000000005</v>
      </c>
      <c r="I53" s="67">
        <v>596.07000000000005</v>
      </c>
    </row>
    <row r="54" spans="1:9" ht="18.75" thickBot="1" x14ac:dyDescent="0.4">
      <c r="A54" s="69">
        <v>50</v>
      </c>
      <c r="B54" s="66">
        <v>722.97</v>
      </c>
      <c r="C54" s="67">
        <v>592.75</v>
      </c>
      <c r="D54" s="66">
        <v>611.24</v>
      </c>
      <c r="E54" s="67">
        <v>644.28</v>
      </c>
      <c r="F54" s="66">
        <v>667.66</v>
      </c>
      <c r="G54" s="67">
        <v>633.89</v>
      </c>
      <c r="H54" s="66">
        <v>624.03</v>
      </c>
      <c r="I54" s="67">
        <v>624.03</v>
      </c>
    </row>
    <row r="55" spans="1:9" ht="18.75" thickBot="1" x14ac:dyDescent="0.4">
      <c r="A55" s="69">
        <v>51</v>
      </c>
      <c r="B55" s="66">
        <v>754.95</v>
      </c>
      <c r="C55" s="67">
        <v>618.98</v>
      </c>
      <c r="D55" s="66">
        <v>638.27</v>
      </c>
      <c r="E55" s="67">
        <v>672.77</v>
      </c>
      <c r="F55" s="66">
        <v>697.19</v>
      </c>
      <c r="G55" s="67">
        <v>661.94</v>
      </c>
      <c r="H55" s="66">
        <v>651.63</v>
      </c>
      <c r="I55" s="67">
        <v>651.63</v>
      </c>
    </row>
    <row r="56" spans="1:9" ht="18.75" thickBot="1" x14ac:dyDescent="0.4">
      <c r="A56" s="69">
        <v>52</v>
      </c>
      <c r="B56" s="66">
        <v>790.16</v>
      </c>
      <c r="C56" s="67">
        <v>647.84</v>
      </c>
      <c r="D56" s="66">
        <v>668.06</v>
      </c>
      <c r="E56" s="67">
        <v>704.16</v>
      </c>
      <c r="F56" s="66">
        <v>729.71</v>
      </c>
      <c r="G56" s="67">
        <v>692.81</v>
      </c>
      <c r="H56" s="66">
        <v>682.02</v>
      </c>
      <c r="I56" s="67">
        <v>682.02</v>
      </c>
    </row>
    <row r="57" spans="1:9" ht="18.75" thickBot="1" x14ac:dyDescent="0.4">
      <c r="A57" s="69">
        <v>53</v>
      </c>
      <c r="B57" s="66">
        <v>825.79</v>
      </c>
      <c r="C57" s="67">
        <v>677.06</v>
      </c>
      <c r="D57" s="66">
        <v>698.17</v>
      </c>
      <c r="E57" s="67">
        <v>735.9</v>
      </c>
      <c r="F57" s="66">
        <v>762.61</v>
      </c>
      <c r="G57" s="67">
        <v>724.05</v>
      </c>
      <c r="H57" s="66">
        <v>712.77</v>
      </c>
      <c r="I57" s="67">
        <v>712.77</v>
      </c>
    </row>
    <row r="58" spans="1:9" ht="18.75" thickBot="1" x14ac:dyDescent="0.4">
      <c r="A58" s="69">
        <v>54</v>
      </c>
      <c r="B58" s="66">
        <v>864.24</v>
      </c>
      <c r="C58" s="67">
        <v>708.58</v>
      </c>
      <c r="D58" s="66">
        <v>730.68</v>
      </c>
      <c r="E58" s="67">
        <v>770.18</v>
      </c>
      <c r="F58" s="66">
        <v>798.12</v>
      </c>
      <c r="G58" s="67">
        <v>757.76</v>
      </c>
      <c r="H58" s="66">
        <v>745.96</v>
      </c>
      <c r="I58" s="67">
        <v>745.96</v>
      </c>
    </row>
    <row r="59" spans="1:9" ht="18.75" thickBot="1" x14ac:dyDescent="0.4">
      <c r="A59" s="69">
        <v>55</v>
      </c>
      <c r="B59" s="66">
        <v>902.7</v>
      </c>
      <c r="C59" s="67">
        <v>740.11</v>
      </c>
      <c r="D59" s="66">
        <v>763.19</v>
      </c>
      <c r="E59" s="67">
        <v>804.44</v>
      </c>
      <c r="F59" s="66">
        <v>833.63</v>
      </c>
      <c r="G59" s="67">
        <v>791.48</v>
      </c>
      <c r="H59" s="66">
        <v>779.16</v>
      </c>
      <c r="I59" s="67">
        <v>779.16</v>
      </c>
    </row>
    <row r="60" spans="1:9" ht="18.75" thickBot="1" x14ac:dyDescent="0.4">
      <c r="A60" s="69">
        <v>56</v>
      </c>
      <c r="B60" s="66">
        <v>944.4</v>
      </c>
      <c r="C60" s="67">
        <v>774.3</v>
      </c>
      <c r="D60" s="66">
        <v>798.44</v>
      </c>
      <c r="E60" s="67">
        <v>841.6</v>
      </c>
      <c r="F60" s="66">
        <v>872.14</v>
      </c>
      <c r="G60" s="67">
        <v>828.04</v>
      </c>
      <c r="H60" s="66">
        <v>815.15</v>
      </c>
      <c r="I60" s="67">
        <v>815.15</v>
      </c>
    </row>
    <row r="61" spans="1:9" ht="18.75" thickBot="1" x14ac:dyDescent="0.4">
      <c r="A61" s="69">
        <v>57</v>
      </c>
      <c r="B61" s="66">
        <v>986.5</v>
      </c>
      <c r="C61" s="67">
        <v>808.82</v>
      </c>
      <c r="D61" s="66">
        <v>834.04</v>
      </c>
      <c r="E61" s="67">
        <v>879.12</v>
      </c>
      <c r="F61" s="66">
        <v>911.02</v>
      </c>
      <c r="G61" s="67">
        <v>864.95</v>
      </c>
      <c r="H61" s="66">
        <v>851.48</v>
      </c>
      <c r="I61" s="67">
        <v>851.48</v>
      </c>
    </row>
    <row r="62" spans="1:9" ht="18.75" thickBot="1" x14ac:dyDescent="0.4">
      <c r="A62" s="69">
        <v>58</v>
      </c>
      <c r="B62" s="66">
        <v>1031.43</v>
      </c>
      <c r="C62" s="67">
        <v>845.66</v>
      </c>
      <c r="D62" s="66">
        <v>872.02</v>
      </c>
      <c r="E62" s="67">
        <v>919.16</v>
      </c>
      <c r="F62" s="66">
        <v>952.51</v>
      </c>
      <c r="G62" s="67">
        <v>904.34</v>
      </c>
      <c r="H62" s="66">
        <v>890.27</v>
      </c>
      <c r="I62" s="67">
        <v>890.27</v>
      </c>
    </row>
    <row r="63" spans="1:9" ht="18.75" thickBot="1" x14ac:dyDescent="0.4">
      <c r="A63" s="69">
        <v>59</v>
      </c>
      <c r="B63" s="66">
        <v>1053.69</v>
      </c>
      <c r="C63" s="67">
        <v>863.91</v>
      </c>
      <c r="D63" s="66">
        <v>890.84</v>
      </c>
      <c r="E63" s="67">
        <v>938.99</v>
      </c>
      <c r="F63" s="66">
        <v>973.08</v>
      </c>
      <c r="G63" s="67">
        <v>923.87</v>
      </c>
      <c r="H63" s="66">
        <v>909.48</v>
      </c>
      <c r="I63" s="67">
        <v>909.48</v>
      </c>
    </row>
    <row r="64" spans="1:9" ht="18.75" thickBot="1" x14ac:dyDescent="0.4">
      <c r="A64" s="69">
        <v>60</v>
      </c>
      <c r="B64" s="66">
        <v>1098.6199999999999</v>
      </c>
      <c r="C64" s="67">
        <v>900.75</v>
      </c>
      <c r="D64" s="66">
        <v>928.84</v>
      </c>
      <c r="E64" s="67">
        <v>979.04</v>
      </c>
      <c r="F64" s="66">
        <v>1014.57</v>
      </c>
      <c r="G64" s="67">
        <v>963.26</v>
      </c>
      <c r="H64" s="66">
        <v>948.26</v>
      </c>
      <c r="I64" s="67">
        <v>948.26</v>
      </c>
    </row>
    <row r="65" spans="1:9" ht="18.75" thickBot="1" x14ac:dyDescent="0.4">
      <c r="A65" s="69">
        <v>61</v>
      </c>
      <c r="B65" s="66">
        <v>1137.48</v>
      </c>
      <c r="C65" s="67">
        <v>932.61</v>
      </c>
      <c r="D65" s="66">
        <v>961.69</v>
      </c>
      <c r="E65" s="67">
        <v>1013.67</v>
      </c>
      <c r="F65" s="66">
        <v>1050.46</v>
      </c>
      <c r="G65" s="67">
        <v>997.33</v>
      </c>
      <c r="H65" s="66">
        <v>981.8</v>
      </c>
      <c r="I65" s="67">
        <v>981.8</v>
      </c>
    </row>
    <row r="66" spans="1:9" ht="18.75" thickBot="1" x14ac:dyDescent="0.4">
      <c r="A66" s="69">
        <v>62</v>
      </c>
      <c r="B66" s="66">
        <v>1162.99</v>
      </c>
      <c r="C66" s="67">
        <v>953.52</v>
      </c>
      <c r="D66" s="66">
        <v>983.25</v>
      </c>
      <c r="E66" s="67">
        <v>1036.4000000000001</v>
      </c>
      <c r="F66" s="66">
        <v>1074.01</v>
      </c>
      <c r="G66" s="67">
        <v>1019.69</v>
      </c>
      <c r="H66" s="66">
        <v>1003.82</v>
      </c>
      <c r="I66" s="67">
        <v>1003.82</v>
      </c>
    </row>
    <row r="67" spans="1:9" ht="18.75" thickBot="1" x14ac:dyDescent="0.4">
      <c r="A67" s="69">
        <v>63</v>
      </c>
      <c r="B67" s="66">
        <v>1194.96</v>
      </c>
      <c r="C67" s="67">
        <v>979.73</v>
      </c>
      <c r="D67" s="66">
        <v>1010.29</v>
      </c>
      <c r="E67" s="67">
        <v>1064.9000000000001</v>
      </c>
      <c r="F67" s="66">
        <v>1103.54</v>
      </c>
      <c r="G67" s="67">
        <v>1047.74</v>
      </c>
      <c r="H67" s="66">
        <v>1031.42</v>
      </c>
      <c r="I67" s="67">
        <v>1031.42</v>
      </c>
    </row>
    <row r="68" spans="1:9" ht="18.75" thickBot="1" x14ac:dyDescent="0.4">
      <c r="A68" s="69">
        <v>64</v>
      </c>
      <c r="B68" s="66">
        <v>1214.3900000000001</v>
      </c>
      <c r="C68" s="67">
        <v>995.67</v>
      </c>
      <c r="D68" s="66">
        <v>1026.72</v>
      </c>
      <c r="E68" s="67">
        <v>1082.21</v>
      </c>
      <c r="F68" s="66">
        <v>1121.49</v>
      </c>
      <c r="G68" s="67">
        <v>1064.77</v>
      </c>
      <c r="H68" s="66">
        <v>1048.19</v>
      </c>
      <c r="I68" s="67">
        <v>1048.19</v>
      </c>
    </row>
  </sheetData>
  <sheetProtection algorithmName="SHA-512" hashValue="iMql9d5aGvvXr1JAdAPHD5Qm/3IpVfuWUJpNEdhodBg84R7447n9XgVHsFJZ9aaLqSNNurQGOa3K+gqHc4X3KA==" saltValue="CguVe+TzxwVnxT/PRXV7nQ==" spinCount="100000" sheet="1" objects="1" scenarios="1"/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FPL</vt:lpstr>
      <vt:lpstr>APTC</vt:lpstr>
      <vt:lpstr>Thresholds</vt:lpstr>
      <vt:lpstr>Age</vt:lpstr>
      <vt:lpstr>Benchmarks</vt:lpstr>
    </vt:vector>
  </TitlesOfParts>
  <Company>Access Health 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AHCT_Admin</dc:creator>
  <cp:lastModifiedBy>AHCT_Admin</cp:lastModifiedBy>
  <dcterms:created xsi:type="dcterms:W3CDTF">2017-10-05T14:41:55Z</dcterms:created>
  <dcterms:modified xsi:type="dcterms:W3CDTF">2018-09-25T16:44:23Z</dcterms:modified>
</cp:coreProperties>
</file>